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ow.sharepoint.com/sites/Operations/Webinars/2024/Budgeting/Part 3/"/>
    </mc:Choice>
  </mc:AlternateContent>
  <xr:revisionPtr revIDLastSave="720" documentId="8_{AB3CCE22-9ACB-491F-A943-2C953EC83446}" xr6:coauthVersionLast="47" xr6:coauthVersionMax="47" xr10:uidLastSave="{843BADE0-02E5-45F1-95A0-5EEF77FE2218}"/>
  <bookViews>
    <workbookView xWindow="-120" yWindow="-120" windowWidth="29040" windowHeight="15720" activeTab="2" xr2:uid="{EEBB9267-B89E-4341-9944-5DE7F4BCE551}"/>
  </bookViews>
  <sheets>
    <sheet name="4. Examples" sheetId="3" r:id="rId1"/>
    <sheet name="QCF Budget" sheetId="2" r:id="rId2"/>
    <sheet name="QCF Budget Revised" sheetId="7" r:id="rId3"/>
    <sheet name="A v B" sheetId="4" r:id="rId4"/>
    <sheet name="Review" sheetId="6" r:id="rId5"/>
    <sheet name="Summary" sheetId="5" r:id="rId6"/>
  </sheets>
  <definedNames>
    <definedName name="_xlnm.Print_Area" localSheetId="3">'A v B'!$A$3:$B$75</definedName>
    <definedName name="_xlnm.Print_Area" localSheetId="1">'QCF Budget'!$A$3:$S$75</definedName>
    <definedName name="_xlnm.Print_Area" localSheetId="2">'QCF Budget Revised'!$A$3:$Q$75</definedName>
    <definedName name="_xlnm.Print_Titles" localSheetId="3">'A v B'!$3:$5</definedName>
    <definedName name="_xlnm.Print_Titles" localSheetId="1">'QCF Budget'!$3:$5</definedName>
    <definedName name="_xlnm.Print_Titles" localSheetId="2">'QCF Budget Revised'!$3:$5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7" l="1"/>
  <c r="M49" i="4"/>
  <c r="B123" i="7"/>
  <c r="C118" i="7"/>
  <c r="P91" i="7"/>
  <c r="P93" i="7" s="1"/>
  <c r="O91" i="7"/>
  <c r="O93" i="7" s="1"/>
  <c r="N91" i="7"/>
  <c r="N93" i="7" s="1"/>
  <c r="M91" i="7"/>
  <c r="M93" i="7" s="1"/>
  <c r="L91" i="7"/>
  <c r="L93" i="7" s="1"/>
  <c r="K91" i="7"/>
  <c r="K93" i="7" s="1"/>
  <c r="J91" i="7"/>
  <c r="J93" i="7" s="1"/>
  <c r="I91" i="7"/>
  <c r="I93" i="7" s="1"/>
  <c r="H91" i="7"/>
  <c r="H93" i="7" s="1"/>
  <c r="G91" i="7"/>
  <c r="G93" i="7" s="1"/>
  <c r="F91" i="7"/>
  <c r="F93" i="7" s="1"/>
  <c r="E91" i="7"/>
  <c r="E93" i="7" s="1"/>
  <c r="D91" i="7"/>
  <c r="D93" i="7" s="1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73" i="7"/>
  <c r="C110" i="7" s="1"/>
  <c r="O72" i="7"/>
  <c r="N72" i="7"/>
  <c r="M72" i="7"/>
  <c r="L72" i="7"/>
  <c r="K72" i="7"/>
  <c r="J72" i="7"/>
  <c r="I72" i="7"/>
  <c r="H72" i="7"/>
  <c r="G72" i="7"/>
  <c r="F72" i="7"/>
  <c r="E72" i="7"/>
  <c r="D72" i="7"/>
  <c r="O71" i="7"/>
  <c r="N71" i="7"/>
  <c r="M71" i="7"/>
  <c r="L71" i="7"/>
  <c r="K71" i="7"/>
  <c r="J71" i="7"/>
  <c r="I71" i="7"/>
  <c r="H71" i="7"/>
  <c r="G71" i="7"/>
  <c r="F71" i="7"/>
  <c r="E71" i="7"/>
  <c r="D71" i="7"/>
  <c r="Q70" i="7"/>
  <c r="O70" i="7"/>
  <c r="N70" i="7"/>
  <c r="M70" i="7"/>
  <c r="L70" i="7"/>
  <c r="K70" i="7"/>
  <c r="J70" i="7"/>
  <c r="I70" i="7"/>
  <c r="H70" i="7"/>
  <c r="G70" i="7"/>
  <c r="F70" i="7"/>
  <c r="E70" i="7"/>
  <c r="D70" i="7"/>
  <c r="C63" i="7"/>
  <c r="O62" i="7"/>
  <c r="N62" i="7"/>
  <c r="M62" i="7"/>
  <c r="L62" i="7"/>
  <c r="K62" i="7"/>
  <c r="J62" i="7"/>
  <c r="I62" i="7"/>
  <c r="H62" i="7"/>
  <c r="G62" i="7"/>
  <c r="F62" i="7"/>
  <c r="E62" i="7"/>
  <c r="D62" i="7"/>
  <c r="O61" i="7"/>
  <c r="N61" i="7"/>
  <c r="M61" i="7"/>
  <c r="L61" i="7"/>
  <c r="K61" i="7"/>
  <c r="J61" i="7"/>
  <c r="I61" i="7"/>
  <c r="H61" i="7"/>
  <c r="G61" i="7"/>
  <c r="F61" i="7"/>
  <c r="E61" i="7"/>
  <c r="D61" i="7"/>
  <c r="O60" i="7"/>
  <c r="N60" i="7"/>
  <c r="M60" i="7"/>
  <c r="L60" i="7"/>
  <c r="K60" i="7"/>
  <c r="J60" i="7"/>
  <c r="I60" i="7"/>
  <c r="H60" i="7"/>
  <c r="G60" i="7"/>
  <c r="F60" i="7"/>
  <c r="E60" i="7"/>
  <c r="D60" i="7"/>
  <c r="O59" i="7"/>
  <c r="N59" i="7"/>
  <c r="M59" i="7"/>
  <c r="L59" i="7"/>
  <c r="K59" i="7"/>
  <c r="J59" i="7"/>
  <c r="I59" i="7"/>
  <c r="H59" i="7"/>
  <c r="G59" i="7"/>
  <c r="F59" i="7"/>
  <c r="E59" i="7"/>
  <c r="D59" i="7"/>
  <c r="O58" i="7"/>
  <c r="N58" i="7"/>
  <c r="M58" i="7"/>
  <c r="L58" i="7"/>
  <c r="K58" i="7"/>
  <c r="J58" i="7"/>
  <c r="I58" i="7"/>
  <c r="H58" i="7"/>
  <c r="G58" i="7"/>
  <c r="F58" i="7"/>
  <c r="E58" i="7"/>
  <c r="D58" i="7"/>
  <c r="C55" i="7"/>
  <c r="O54" i="7"/>
  <c r="N54" i="7"/>
  <c r="M54" i="7"/>
  <c r="L54" i="7"/>
  <c r="K54" i="7"/>
  <c r="J54" i="7"/>
  <c r="I54" i="7"/>
  <c r="H54" i="7"/>
  <c r="G54" i="7"/>
  <c r="F54" i="7"/>
  <c r="E54" i="7"/>
  <c r="D54" i="7"/>
  <c r="O53" i="7"/>
  <c r="N53" i="7"/>
  <c r="M53" i="7"/>
  <c r="L53" i="7"/>
  <c r="K53" i="7"/>
  <c r="J53" i="7"/>
  <c r="I53" i="7"/>
  <c r="H53" i="7"/>
  <c r="G53" i="7"/>
  <c r="F53" i="7"/>
  <c r="E53" i="7"/>
  <c r="D53" i="7"/>
  <c r="O52" i="7"/>
  <c r="N52" i="7"/>
  <c r="M52" i="7"/>
  <c r="L52" i="7"/>
  <c r="K52" i="7"/>
  <c r="J52" i="7"/>
  <c r="I52" i="7"/>
  <c r="H52" i="7"/>
  <c r="G52" i="7"/>
  <c r="F52" i="7"/>
  <c r="E52" i="7"/>
  <c r="D52" i="7"/>
  <c r="O48" i="7"/>
  <c r="N48" i="7"/>
  <c r="M48" i="7"/>
  <c r="L48" i="7"/>
  <c r="K48" i="7"/>
  <c r="J48" i="7"/>
  <c r="I48" i="7"/>
  <c r="H48" i="7"/>
  <c r="G48" i="7"/>
  <c r="F48" i="7"/>
  <c r="E48" i="7"/>
  <c r="D48" i="7"/>
  <c r="O47" i="7"/>
  <c r="N47" i="7"/>
  <c r="M47" i="7"/>
  <c r="L47" i="7"/>
  <c r="K47" i="7"/>
  <c r="J47" i="7"/>
  <c r="I47" i="7"/>
  <c r="H47" i="7"/>
  <c r="G47" i="7"/>
  <c r="F47" i="7"/>
  <c r="E47" i="7"/>
  <c r="D47" i="7"/>
  <c r="C46" i="7"/>
  <c r="K46" i="7" s="1"/>
  <c r="O45" i="7"/>
  <c r="N45" i="7"/>
  <c r="M45" i="7"/>
  <c r="L45" i="7"/>
  <c r="K45" i="7"/>
  <c r="J45" i="7"/>
  <c r="I45" i="7"/>
  <c r="H45" i="7"/>
  <c r="G45" i="7"/>
  <c r="F45" i="7"/>
  <c r="E45" i="7"/>
  <c r="D45" i="7"/>
  <c r="O44" i="7"/>
  <c r="N44" i="7"/>
  <c r="M44" i="7"/>
  <c r="L44" i="7"/>
  <c r="K44" i="7"/>
  <c r="J44" i="7"/>
  <c r="I44" i="7"/>
  <c r="H44" i="7"/>
  <c r="G44" i="7"/>
  <c r="F44" i="7"/>
  <c r="E44" i="7"/>
  <c r="D44" i="7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G41" i="7"/>
  <c r="F41" i="7"/>
  <c r="E41" i="7"/>
  <c r="D41" i="7"/>
  <c r="C37" i="7"/>
  <c r="M37" i="7" s="1"/>
  <c r="O36" i="7"/>
  <c r="N36" i="7"/>
  <c r="M36" i="7"/>
  <c r="L36" i="7"/>
  <c r="K36" i="7"/>
  <c r="J36" i="7"/>
  <c r="I36" i="7"/>
  <c r="H36" i="7"/>
  <c r="G36" i="7"/>
  <c r="F36" i="7"/>
  <c r="E36" i="7"/>
  <c r="D36" i="7"/>
  <c r="O35" i="7"/>
  <c r="N35" i="7"/>
  <c r="M35" i="7"/>
  <c r="L35" i="7"/>
  <c r="K35" i="7"/>
  <c r="J35" i="7"/>
  <c r="I35" i="7"/>
  <c r="H35" i="7"/>
  <c r="G35" i="7"/>
  <c r="F35" i="7"/>
  <c r="E35" i="7"/>
  <c r="D35" i="7"/>
  <c r="I34" i="7"/>
  <c r="H34" i="7"/>
  <c r="G34" i="7"/>
  <c r="F34" i="7"/>
  <c r="E34" i="7"/>
  <c r="D34" i="7"/>
  <c r="O33" i="7"/>
  <c r="N33" i="7"/>
  <c r="M33" i="7"/>
  <c r="L33" i="7"/>
  <c r="K33" i="7"/>
  <c r="J33" i="7"/>
  <c r="I33" i="7"/>
  <c r="H33" i="7"/>
  <c r="G33" i="7"/>
  <c r="F33" i="7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D32" i="7"/>
  <c r="I31" i="7"/>
  <c r="H31" i="7"/>
  <c r="G31" i="7"/>
  <c r="F31" i="7"/>
  <c r="E31" i="7"/>
  <c r="D31" i="7"/>
  <c r="O30" i="7"/>
  <c r="N30" i="7"/>
  <c r="M30" i="7"/>
  <c r="L30" i="7"/>
  <c r="K30" i="7"/>
  <c r="J30" i="7"/>
  <c r="I30" i="7"/>
  <c r="H30" i="7"/>
  <c r="G30" i="7"/>
  <c r="F30" i="7"/>
  <c r="E30" i="7"/>
  <c r="D30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O27" i="7"/>
  <c r="N27" i="7"/>
  <c r="M27" i="7"/>
  <c r="L27" i="7"/>
  <c r="K27" i="7"/>
  <c r="J27" i="7"/>
  <c r="I27" i="7"/>
  <c r="H27" i="7"/>
  <c r="G27" i="7"/>
  <c r="F27" i="7"/>
  <c r="E27" i="7"/>
  <c r="D27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0" i="7"/>
  <c r="C112" i="7" s="1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L20" i="7" s="1"/>
  <c r="K17" i="7"/>
  <c r="J17" i="7"/>
  <c r="I17" i="7"/>
  <c r="H17" i="7"/>
  <c r="G17" i="7"/>
  <c r="F17" i="7"/>
  <c r="E17" i="7"/>
  <c r="D17" i="7"/>
  <c r="C14" i="7"/>
  <c r="C109" i="7" s="1"/>
  <c r="O13" i="7"/>
  <c r="N13" i="7"/>
  <c r="M13" i="7"/>
  <c r="L13" i="7"/>
  <c r="K13" i="7"/>
  <c r="J13" i="7"/>
  <c r="I13" i="7"/>
  <c r="H13" i="7"/>
  <c r="G13" i="7"/>
  <c r="F13" i="7"/>
  <c r="E13" i="7"/>
  <c r="D13" i="7"/>
  <c r="O12" i="7"/>
  <c r="N12" i="7"/>
  <c r="M12" i="7"/>
  <c r="L12" i="7"/>
  <c r="K12" i="7"/>
  <c r="J12" i="7"/>
  <c r="I12" i="7"/>
  <c r="H12" i="7"/>
  <c r="G12" i="7"/>
  <c r="F12" i="7"/>
  <c r="E12" i="7"/>
  <c r="D12" i="7"/>
  <c r="O11" i="7"/>
  <c r="N11" i="7"/>
  <c r="M11" i="7"/>
  <c r="L11" i="7"/>
  <c r="K11" i="7"/>
  <c r="J11" i="7"/>
  <c r="I11" i="7"/>
  <c r="H11" i="7"/>
  <c r="G11" i="7"/>
  <c r="F11" i="7"/>
  <c r="E11" i="7"/>
  <c r="D11" i="7"/>
  <c r="O10" i="7"/>
  <c r="N10" i="7"/>
  <c r="M10" i="7"/>
  <c r="L10" i="7"/>
  <c r="K10" i="7"/>
  <c r="J10" i="7"/>
  <c r="I10" i="7"/>
  <c r="H10" i="7"/>
  <c r="G10" i="7"/>
  <c r="F10" i="7"/>
  <c r="E10" i="7"/>
  <c r="D10" i="7"/>
  <c r="O9" i="7"/>
  <c r="N9" i="7"/>
  <c r="M9" i="7"/>
  <c r="L9" i="7"/>
  <c r="K9" i="7"/>
  <c r="J9" i="7"/>
  <c r="I9" i="7"/>
  <c r="H9" i="7"/>
  <c r="G9" i="7"/>
  <c r="F9" i="7"/>
  <c r="E9" i="7"/>
  <c r="D9" i="7"/>
  <c r="O8" i="7"/>
  <c r="N8" i="7"/>
  <c r="M8" i="7"/>
  <c r="L8" i="7"/>
  <c r="K8" i="7"/>
  <c r="J8" i="7"/>
  <c r="I8" i="7"/>
  <c r="H8" i="7"/>
  <c r="G8" i="7"/>
  <c r="F8" i="7"/>
  <c r="E8" i="7"/>
  <c r="D8" i="7"/>
  <c r="A1" i="7"/>
  <c r="A2" i="7" s="1"/>
  <c r="G78" i="4"/>
  <c r="G72" i="4"/>
  <c r="G71" i="4"/>
  <c r="G54" i="4"/>
  <c r="G52" i="4"/>
  <c r="G49" i="4"/>
  <c r="H13" i="5" s="1"/>
  <c r="G26" i="4"/>
  <c r="G27" i="4"/>
  <c r="G28" i="4"/>
  <c r="G29" i="4"/>
  <c r="G30" i="4"/>
  <c r="G31" i="4"/>
  <c r="G32" i="4"/>
  <c r="G33" i="4"/>
  <c r="G34" i="4"/>
  <c r="G35" i="4"/>
  <c r="G36" i="4"/>
  <c r="G37" i="4"/>
  <c r="G25" i="4"/>
  <c r="G19" i="4"/>
  <c r="G18" i="4"/>
  <c r="G17" i="4"/>
  <c r="G13" i="4"/>
  <c r="G12" i="4"/>
  <c r="G11" i="4"/>
  <c r="H7" i="5" s="1"/>
  <c r="G10" i="4"/>
  <c r="H6" i="5" s="1"/>
  <c r="G9" i="4"/>
  <c r="H5" i="5" s="1"/>
  <c r="G8" i="4"/>
  <c r="H4" i="5" s="1"/>
  <c r="R33" i="5"/>
  <c r="P29" i="5"/>
  <c r="P30" i="5"/>
  <c r="P31" i="5"/>
  <c r="Q28" i="5"/>
  <c r="Q33" i="5" s="1"/>
  <c r="R32" i="5"/>
  <c r="G13" i="5"/>
  <c r="D12" i="5"/>
  <c r="D13" i="5"/>
  <c r="C13" i="5"/>
  <c r="H3" i="5"/>
  <c r="G3" i="5"/>
  <c r="D3" i="5"/>
  <c r="C3" i="5"/>
  <c r="G9" i="5"/>
  <c r="G5" i="5"/>
  <c r="G6" i="5"/>
  <c r="G7" i="5"/>
  <c r="G4" i="5"/>
  <c r="D9" i="5"/>
  <c r="D8" i="5"/>
  <c r="D7" i="5"/>
  <c r="D6" i="5"/>
  <c r="D5" i="5"/>
  <c r="D4" i="5"/>
  <c r="C9" i="5"/>
  <c r="C8" i="5"/>
  <c r="C7" i="5"/>
  <c r="C6" i="5"/>
  <c r="C5" i="5"/>
  <c r="C4" i="5"/>
  <c r="I16" i="5"/>
  <c r="E16" i="5"/>
  <c r="I15" i="5"/>
  <c r="F20" i="7" l="1"/>
  <c r="N20" i="7"/>
  <c r="F73" i="7"/>
  <c r="N73" i="7"/>
  <c r="E55" i="7"/>
  <c r="H63" i="7"/>
  <c r="H14" i="7"/>
  <c r="F55" i="7"/>
  <c r="N55" i="7"/>
  <c r="G73" i="7"/>
  <c r="O73" i="7"/>
  <c r="P59" i="7"/>
  <c r="Q59" i="7" s="1"/>
  <c r="I14" i="7"/>
  <c r="H20" i="7"/>
  <c r="H73" i="7"/>
  <c r="J14" i="7"/>
  <c r="H55" i="7"/>
  <c r="K63" i="7"/>
  <c r="G63" i="7"/>
  <c r="O63" i="7"/>
  <c r="J55" i="7"/>
  <c r="E63" i="7"/>
  <c r="M63" i="7"/>
  <c r="K73" i="7"/>
  <c r="H37" i="7"/>
  <c r="H38" i="7" s="1"/>
  <c r="G46" i="7"/>
  <c r="P17" i="7"/>
  <c r="Q17" i="7" s="1"/>
  <c r="G20" i="7"/>
  <c r="P33" i="7"/>
  <c r="Q33" i="7" s="1"/>
  <c r="F37" i="7"/>
  <c r="F38" i="7" s="1"/>
  <c r="P44" i="7"/>
  <c r="Q44" i="7" s="1"/>
  <c r="D46" i="7"/>
  <c r="D49" i="7" s="1"/>
  <c r="K14" i="7"/>
  <c r="N37" i="7"/>
  <c r="N38" i="7" s="1"/>
  <c r="L46" i="7"/>
  <c r="N46" i="7"/>
  <c r="P8" i="7"/>
  <c r="Q8" i="7" s="1"/>
  <c r="C111" i="7"/>
  <c r="D112" i="7" s="1"/>
  <c r="E14" i="7"/>
  <c r="M14" i="7"/>
  <c r="M22" i="7" s="1"/>
  <c r="O46" i="7"/>
  <c r="G49" i="7"/>
  <c r="P13" i="7"/>
  <c r="Q13" i="7" s="1"/>
  <c r="P9" i="7"/>
  <c r="O20" i="7"/>
  <c r="P26" i="7"/>
  <c r="Q26" i="7" s="1"/>
  <c r="P31" i="7"/>
  <c r="P35" i="7"/>
  <c r="Q35" i="7" s="1"/>
  <c r="P42" i="7"/>
  <c r="Q42" i="7" s="1"/>
  <c r="P53" i="7"/>
  <c r="Q53" i="7" s="1"/>
  <c r="P54" i="7"/>
  <c r="Q54" i="7" s="1"/>
  <c r="L55" i="7"/>
  <c r="P71" i="7"/>
  <c r="Q71" i="7" s="1"/>
  <c r="M55" i="7"/>
  <c r="G14" i="7"/>
  <c r="G22" i="7" s="1"/>
  <c r="O14" i="7"/>
  <c r="I20" i="7"/>
  <c r="P18" i="7"/>
  <c r="F46" i="7"/>
  <c r="F49" i="7" s="1"/>
  <c r="P61" i="7"/>
  <c r="Q61" i="7" s="1"/>
  <c r="I63" i="7"/>
  <c r="J73" i="7"/>
  <c r="G55" i="7"/>
  <c r="O55" i="7"/>
  <c r="J63" i="7"/>
  <c r="P10" i="7"/>
  <c r="Q10" i="7" s="1"/>
  <c r="K20" i="7"/>
  <c r="J20" i="7"/>
  <c r="P27" i="7"/>
  <c r="P29" i="7"/>
  <c r="Q29" i="7" s="1"/>
  <c r="P80" i="7" s="1"/>
  <c r="P32" i="7"/>
  <c r="Q32" i="7" s="1"/>
  <c r="P34" i="7"/>
  <c r="Q34" i="7" s="1"/>
  <c r="P43" i="7"/>
  <c r="P45" i="7"/>
  <c r="Q45" i="7" s="1"/>
  <c r="I46" i="7"/>
  <c r="I49" i="7" s="1"/>
  <c r="P72" i="7"/>
  <c r="Q72" i="7" s="1"/>
  <c r="L73" i="7"/>
  <c r="F14" i="7"/>
  <c r="F22" i="7" s="1"/>
  <c r="N14" i="7"/>
  <c r="N22" i="7" s="1"/>
  <c r="P12" i="7"/>
  <c r="Q12" i="7" s="1"/>
  <c r="I55" i="7"/>
  <c r="D63" i="7"/>
  <c r="L63" i="7"/>
  <c r="P60" i="7"/>
  <c r="Q60" i="7" s="1"/>
  <c r="I73" i="7"/>
  <c r="E73" i="7"/>
  <c r="M73" i="7"/>
  <c r="P47" i="7"/>
  <c r="L14" i="7"/>
  <c r="L22" i="7" s="1"/>
  <c r="E20" i="7"/>
  <c r="M20" i="7"/>
  <c r="P19" i="7"/>
  <c r="P30" i="7"/>
  <c r="P36" i="7"/>
  <c r="Q36" i="7" s="1"/>
  <c r="P48" i="7"/>
  <c r="Q48" i="7" s="1"/>
  <c r="P11" i="7"/>
  <c r="Q11" i="7" s="1"/>
  <c r="K55" i="7"/>
  <c r="P62" i="7"/>
  <c r="Q62" i="7" s="1"/>
  <c r="N63" i="7"/>
  <c r="Q31" i="7"/>
  <c r="P81" i="7" s="1"/>
  <c r="Q27" i="7"/>
  <c r="M38" i="7"/>
  <c r="Q47" i="7"/>
  <c r="Q9" i="7"/>
  <c r="F63" i="7"/>
  <c r="C22" i="7"/>
  <c r="G37" i="7"/>
  <c r="G38" i="7" s="1"/>
  <c r="O37" i="7"/>
  <c r="O38" i="7" s="1"/>
  <c r="P41" i="7"/>
  <c r="E46" i="7"/>
  <c r="E49" i="7" s="1"/>
  <c r="M46" i="7"/>
  <c r="P52" i="7"/>
  <c r="P28" i="7"/>
  <c r="I37" i="7"/>
  <c r="I38" i="7" s="1"/>
  <c r="D55" i="7"/>
  <c r="D20" i="7"/>
  <c r="J37" i="7"/>
  <c r="J38" i="7" s="1"/>
  <c r="H46" i="7"/>
  <c r="H49" i="7" s="1"/>
  <c r="D73" i="7"/>
  <c r="D14" i="7"/>
  <c r="P25" i="7"/>
  <c r="K37" i="7"/>
  <c r="K38" i="7" s="1"/>
  <c r="C38" i="7"/>
  <c r="C49" i="7"/>
  <c r="D37" i="7"/>
  <c r="L37" i="7"/>
  <c r="L38" i="7" s="1"/>
  <c r="L65" i="7" s="1"/>
  <c r="J46" i="7"/>
  <c r="P58" i="7"/>
  <c r="E37" i="7"/>
  <c r="E38" i="7" s="1"/>
  <c r="H9" i="5"/>
  <c r="I9" i="5" s="1"/>
  <c r="I7" i="5"/>
  <c r="I6" i="5"/>
  <c r="E13" i="5"/>
  <c r="Q32" i="5"/>
  <c r="I5" i="5"/>
  <c r="P28" i="5"/>
  <c r="P33" i="5" s="1"/>
  <c r="I13" i="5"/>
  <c r="E3" i="5"/>
  <c r="E9" i="5"/>
  <c r="E5" i="5"/>
  <c r="E4" i="5"/>
  <c r="I3" i="5"/>
  <c r="E6" i="5"/>
  <c r="E8" i="5"/>
  <c r="E7" i="5"/>
  <c r="D10" i="5"/>
  <c r="E15" i="5"/>
  <c r="C10" i="5"/>
  <c r="I4" i="5"/>
  <c r="H22" i="7" l="1"/>
  <c r="I22" i="7"/>
  <c r="K22" i="7"/>
  <c r="J65" i="7"/>
  <c r="N65" i="7"/>
  <c r="N67" i="7" s="1"/>
  <c r="N75" i="7" s="1"/>
  <c r="O65" i="7"/>
  <c r="Q43" i="7"/>
  <c r="H65" i="7"/>
  <c r="H67" i="7" s="1"/>
  <c r="H75" i="7" s="1"/>
  <c r="E22" i="7"/>
  <c r="J22" i="7"/>
  <c r="P14" i="7"/>
  <c r="Q19" i="7"/>
  <c r="F65" i="7"/>
  <c r="F67" i="7" s="1"/>
  <c r="F75" i="7" s="1"/>
  <c r="Q30" i="7"/>
  <c r="C65" i="7"/>
  <c r="C113" i="7" s="1"/>
  <c r="D113" i="7" s="1"/>
  <c r="G65" i="7"/>
  <c r="G67" i="7" s="1"/>
  <c r="G75" i="7" s="1"/>
  <c r="P73" i="7"/>
  <c r="P20" i="7"/>
  <c r="Q20" i="7" s="1"/>
  <c r="K65" i="7"/>
  <c r="K67" i="7" s="1"/>
  <c r="K75" i="7" s="1"/>
  <c r="Q18" i="7"/>
  <c r="O22" i="7"/>
  <c r="D22" i="7"/>
  <c r="P46" i="7"/>
  <c r="Q46" i="7" s="1"/>
  <c r="P49" i="7"/>
  <c r="I65" i="7"/>
  <c r="I67" i="7" s="1"/>
  <c r="I75" i="7" s="1"/>
  <c r="L67" i="7"/>
  <c r="L75" i="7" s="1"/>
  <c r="M65" i="7"/>
  <c r="M67" i="7" s="1"/>
  <c r="M75" i="7" s="1"/>
  <c r="E65" i="7"/>
  <c r="Q25" i="7"/>
  <c r="J67" i="7"/>
  <c r="J75" i="7" s="1"/>
  <c r="Q28" i="7"/>
  <c r="P37" i="7"/>
  <c r="P38" i="7" s="1"/>
  <c r="P22" i="7"/>
  <c r="Q14" i="7"/>
  <c r="P63" i="7"/>
  <c r="Q58" i="7"/>
  <c r="P55" i="7"/>
  <c r="Q52" i="7"/>
  <c r="D38" i="7"/>
  <c r="D65" i="7" s="1"/>
  <c r="P32" i="5"/>
  <c r="E10" i="5"/>
  <c r="O67" i="7" l="1"/>
  <c r="O75" i="7" s="1"/>
  <c r="C67" i="7"/>
  <c r="C75" i="7" s="1"/>
  <c r="E67" i="7"/>
  <c r="E75" i="7" s="1"/>
  <c r="D67" i="7"/>
  <c r="D75" i="7" s="1"/>
  <c r="Q38" i="7"/>
  <c r="Q63" i="7"/>
  <c r="Q49" i="7"/>
  <c r="P83" i="7" s="1"/>
  <c r="Q37" i="7"/>
  <c r="P65" i="7"/>
  <c r="P67" i="7" s="1"/>
  <c r="Q55" i="7"/>
  <c r="Q22" i="7"/>
  <c r="H78" i="4"/>
  <c r="I78" i="4" s="1"/>
  <c r="D78" i="4"/>
  <c r="E78" i="4" s="1"/>
  <c r="C78" i="4"/>
  <c r="B80" i="4"/>
  <c r="B82" i="4" s="1"/>
  <c r="B83" i="4" s="1"/>
  <c r="P84" i="7" l="1"/>
  <c r="P75" i="7"/>
  <c r="Q67" i="7"/>
  <c r="Q65" i="7"/>
  <c r="F20" i="4"/>
  <c r="G11" i="5" s="1"/>
  <c r="D17" i="4"/>
  <c r="E17" i="4" s="1"/>
  <c r="D49" i="4"/>
  <c r="E49" i="4" s="1"/>
  <c r="H49" i="4"/>
  <c r="I49" i="4" s="1"/>
  <c r="H53" i="4"/>
  <c r="D54" i="4"/>
  <c r="E54" i="4" s="1"/>
  <c r="D53" i="4"/>
  <c r="D52" i="4"/>
  <c r="E52" i="4" s="1"/>
  <c r="D28" i="4"/>
  <c r="E28" i="4" s="1"/>
  <c r="D29" i="4"/>
  <c r="E29" i="4" s="1"/>
  <c r="D30" i="4"/>
  <c r="E30" i="4" s="1"/>
  <c r="D31" i="4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27" i="4"/>
  <c r="E27" i="4" s="1"/>
  <c r="D26" i="4"/>
  <c r="E26" i="4" s="1"/>
  <c r="D25" i="4"/>
  <c r="E25" i="4" s="1"/>
  <c r="D18" i="4"/>
  <c r="E18" i="4" s="1"/>
  <c r="D19" i="4"/>
  <c r="E19" i="4" s="1"/>
  <c r="H37" i="4"/>
  <c r="H36" i="4"/>
  <c r="I36" i="4" s="1"/>
  <c r="H33" i="4"/>
  <c r="H32" i="4"/>
  <c r="H30" i="4"/>
  <c r="H29" i="4"/>
  <c r="I29" i="4" s="1"/>
  <c r="H28" i="4"/>
  <c r="I28" i="4" s="1"/>
  <c r="H26" i="4"/>
  <c r="H25" i="4"/>
  <c r="H18" i="4"/>
  <c r="H17" i="4"/>
  <c r="I13" i="4"/>
  <c r="H8" i="4"/>
  <c r="H72" i="4"/>
  <c r="I72" i="4" s="1"/>
  <c r="H71" i="4"/>
  <c r="I70" i="4"/>
  <c r="H70" i="4"/>
  <c r="I62" i="4"/>
  <c r="H62" i="4"/>
  <c r="I61" i="4"/>
  <c r="H61" i="4"/>
  <c r="I60" i="4"/>
  <c r="H60" i="4"/>
  <c r="I59" i="4"/>
  <c r="H59" i="4"/>
  <c r="I58" i="4"/>
  <c r="I63" i="4" s="1"/>
  <c r="H58" i="4"/>
  <c r="H63" i="4" s="1"/>
  <c r="I53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H11" i="4"/>
  <c r="I11" i="4" s="1"/>
  <c r="D72" i="4"/>
  <c r="E72" i="4" s="1"/>
  <c r="D71" i="4"/>
  <c r="E71" i="4" s="1"/>
  <c r="E53" i="4"/>
  <c r="D9" i="4"/>
  <c r="E9" i="4" s="1"/>
  <c r="D10" i="4"/>
  <c r="E10" i="4"/>
  <c r="D11" i="4"/>
  <c r="E11" i="4" s="1"/>
  <c r="D12" i="4"/>
  <c r="E12" i="4" s="1"/>
  <c r="D13" i="4"/>
  <c r="E13" i="4"/>
  <c r="D8" i="4"/>
  <c r="D65" i="2"/>
  <c r="H54" i="4"/>
  <c r="I54" i="4" s="1"/>
  <c r="H52" i="4"/>
  <c r="H9" i="4"/>
  <c r="I9" i="4" s="1"/>
  <c r="H10" i="4"/>
  <c r="I10" i="4" s="1"/>
  <c r="H12" i="4"/>
  <c r="I12" i="4" s="1"/>
  <c r="C73" i="4"/>
  <c r="F70" i="4"/>
  <c r="G70" i="4"/>
  <c r="E70" i="4"/>
  <c r="D70" i="4"/>
  <c r="C70" i="4"/>
  <c r="F62" i="4"/>
  <c r="G62" i="4"/>
  <c r="E62" i="4"/>
  <c r="D62" i="4"/>
  <c r="C62" i="4"/>
  <c r="F61" i="4"/>
  <c r="G61" i="4"/>
  <c r="E61" i="4"/>
  <c r="D61" i="4"/>
  <c r="C61" i="4"/>
  <c r="F60" i="4"/>
  <c r="G60" i="4"/>
  <c r="E60" i="4"/>
  <c r="D60" i="4"/>
  <c r="C60" i="4"/>
  <c r="F59" i="4"/>
  <c r="G59" i="4"/>
  <c r="E59" i="4"/>
  <c r="D59" i="4"/>
  <c r="C59" i="4"/>
  <c r="F58" i="4"/>
  <c r="F63" i="4" s="1"/>
  <c r="G58" i="4"/>
  <c r="G63" i="4" s="1"/>
  <c r="E58" i="4"/>
  <c r="E63" i="4" s="1"/>
  <c r="D58" i="4"/>
  <c r="D63" i="4" s="1"/>
  <c r="C58" i="4"/>
  <c r="C63" i="4" s="1"/>
  <c r="F55" i="4"/>
  <c r="G14" i="5" s="1"/>
  <c r="C55" i="4"/>
  <c r="D14" i="5" s="1"/>
  <c r="F48" i="4"/>
  <c r="G48" i="4"/>
  <c r="E48" i="4"/>
  <c r="D48" i="4"/>
  <c r="C48" i="4"/>
  <c r="F47" i="4"/>
  <c r="G47" i="4"/>
  <c r="E47" i="4"/>
  <c r="D47" i="4"/>
  <c r="C47" i="4"/>
  <c r="F46" i="4"/>
  <c r="G46" i="4"/>
  <c r="E46" i="4"/>
  <c r="D46" i="4"/>
  <c r="C46" i="4"/>
  <c r="F45" i="4"/>
  <c r="G45" i="4"/>
  <c r="E45" i="4"/>
  <c r="D45" i="4"/>
  <c r="C45" i="4"/>
  <c r="F44" i="4"/>
  <c r="G44" i="4"/>
  <c r="E44" i="4"/>
  <c r="D44" i="4"/>
  <c r="C44" i="4"/>
  <c r="F43" i="4"/>
  <c r="G43" i="4"/>
  <c r="E43" i="4"/>
  <c r="D43" i="4"/>
  <c r="C43" i="4"/>
  <c r="F42" i="4"/>
  <c r="G42" i="4"/>
  <c r="E42" i="4"/>
  <c r="D42" i="4"/>
  <c r="C42" i="4"/>
  <c r="F41" i="4"/>
  <c r="G41" i="4"/>
  <c r="E41" i="4"/>
  <c r="D41" i="4"/>
  <c r="C41" i="4"/>
  <c r="C38" i="4"/>
  <c r="C20" i="4"/>
  <c r="D11" i="5" s="1"/>
  <c r="F14" i="4"/>
  <c r="C14" i="4"/>
  <c r="B125" i="7" l="1"/>
  <c r="Q75" i="7"/>
  <c r="P77" i="7"/>
  <c r="D17" i="5"/>
  <c r="H31" i="4"/>
  <c r="I31" i="4" s="1"/>
  <c r="H27" i="4"/>
  <c r="I27" i="4" s="1"/>
  <c r="H19" i="4"/>
  <c r="I19" i="4" s="1"/>
  <c r="H34" i="4"/>
  <c r="I34" i="4" s="1"/>
  <c r="F38" i="4"/>
  <c r="H35" i="4"/>
  <c r="I35" i="4" s="1"/>
  <c r="D73" i="4"/>
  <c r="I18" i="4"/>
  <c r="F73" i="4"/>
  <c r="G8" i="5" s="1"/>
  <c r="G10" i="5" s="1"/>
  <c r="I30" i="4"/>
  <c r="G20" i="4"/>
  <c r="H11" i="5" s="1"/>
  <c r="G73" i="4"/>
  <c r="H8" i="5" s="1"/>
  <c r="H73" i="4"/>
  <c r="I37" i="4"/>
  <c r="H55" i="4"/>
  <c r="C65" i="4"/>
  <c r="D38" i="4"/>
  <c r="D20" i="4"/>
  <c r="D14" i="4"/>
  <c r="I25" i="4"/>
  <c r="E8" i="4"/>
  <c r="H13" i="4"/>
  <c r="H14" i="4" s="1"/>
  <c r="I32" i="4"/>
  <c r="I33" i="4"/>
  <c r="F22" i="4"/>
  <c r="I26" i="4"/>
  <c r="I8" i="4"/>
  <c r="I71" i="4"/>
  <c r="D55" i="4"/>
  <c r="E31" i="4"/>
  <c r="G55" i="4"/>
  <c r="H14" i="5" s="1"/>
  <c r="I14" i="5" s="1"/>
  <c r="C22" i="4"/>
  <c r="G38" i="4"/>
  <c r="H12" i="5" s="1"/>
  <c r="G14" i="4"/>
  <c r="F65" i="4" l="1"/>
  <c r="F67" i="4" s="1"/>
  <c r="F75" i="4" s="1"/>
  <c r="G12" i="5"/>
  <c r="G17" i="5" s="1"/>
  <c r="G18" i="5" s="1"/>
  <c r="I8" i="5"/>
  <c r="H10" i="5"/>
  <c r="I10" i="5" s="1"/>
  <c r="D18" i="5"/>
  <c r="H17" i="5"/>
  <c r="H20" i="4"/>
  <c r="H22" i="4" s="1"/>
  <c r="I11" i="5"/>
  <c r="C67" i="4"/>
  <c r="C75" i="4" s="1"/>
  <c r="G22" i="4"/>
  <c r="G67" i="4" s="1"/>
  <c r="D65" i="4"/>
  <c r="I17" i="4"/>
  <c r="I52" i="4"/>
  <c r="D22" i="4"/>
  <c r="H38" i="4"/>
  <c r="H65" i="4" s="1"/>
  <c r="G65" i="4"/>
  <c r="I12" i="5" l="1"/>
  <c r="I17" i="5"/>
  <c r="H18" i="5"/>
  <c r="I18" i="5" s="1"/>
  <c r="G75" i="4"/>
  <c r="H75" i="4" s="1"/>
  <c r="H67" i="4"/>
  <c r="D67" i="4"/>
  <c r="B70" i="4" l="1"/>
  <c r="B62" i="4"/>
  <c r="B61" i="4"/>
  <c r="B60" i="4"/>
  <c r="B59" i="4"/>
  <c r="B58" i="4"/>
  <c r="B48" i="4"/>
  <c r="B47" i="4"/>
  <c r="B45" i="4"/>
  <c r="B44" i="4"/>
  <c r="B43" i="4"/>
  <c r="B42" i="4"/>
  <c r="B41" i="4"/>
  <c r="A1" i="4"/>
  <c r="A2" i="4" s="1"/>
  <c r="H11" i="3"/>
  <c r="G11" i="3"/>
  <c r="H16" i="3"/>
  <c r="C11" i="3"/>
  <c r="B11" i="3"/>
  <c r="C16" i="3"/>
  <c r="B63" i="4" l="1"/>
  <c r="B73" i="4"/>
  <c r="B20" i="4"/>
  <c r="C11" i="5" s="1"/>
  <c r="E11" i="5" s="1"/>
  <c r="B55" i="4"/>
  <c r="C14" i="5" s="1"/>
  <c r="B14" i="4"/>
  <c r="B38" i="4"/>
  <c r="C12" i="5" s="1"/>
  <c r="E12" i="5" s="1"/>
  <c r="B46" i="4"/>
  <c r="I11" i="3"/>
  <c r="C17" i="5" l="1"/>
  <c r="E14" i="5"/>
  <c r="B65" i="4"/>
  <c r="B22" i="4"/>
  <c r="B6" i="3"/>
  <c r="G16" i="3" s="1"/>
  <c r="I16" i="3" s="1"/>
  <c r="C18" i="5" l="1"/>
  <c r="E18" i="5" s="1"/>
  <c r="E17" i="5"/>
  <c r="B67" i="4"/>
  <c r="B75" i="4" s="1"/>
  <c r="D75" i="4" s="1"/>
  <c r="H13" i="3"/>
  <c r="B16" i="3"/>
  <c r="B13" i="3"/>
  <c r="H18" i="3"/>
  <c r="C13" i="3"/>
  <c r="C18" i="3"/>
  <c r="G18" i="3"/>
  <c r="G13" i="3"/>
  <c r="D11" i="3"/>
  <c r="C37" i="2"/>
  <c r="B126" i="2"/>
  <c r="C121" i="2"/>
  <c r="Q94" i="2"/>
  <c r="Q96" i="2" s="1"/>
  <c r="O94" i="2"/>
  <c r="O96" i="2" s="1"/>
  <c r="N94" i="2"/>
  <c r="N96" i="2" s="1"/>
  <c r="M94" i="2"/>
  <c r="M96" i="2" s="1"/>
  <c r="L94" i="2"/>
  <c r="L96" i="2" s="1"/>
  <c r="K94" i="2"/>
  <c r="K96" i="2" s="1"/>
  <c r="J94" i="2"/>
  <c r="J96" i="2" s="1"/>
  <c r="I94" i="2"/>
  <c r="I96" i="2" s="1"/>
  <c r="H94" i="2"/>
  <c r="H96" i="2" s="1"/>
  <c r="G94" i="2"/>
  <c r="G96" i="2" s="1"/>
  <c r="F94" i="2"/>
  <c r="F96" i="2" s="1"/>
  <c r="E94" i="2"/>
  <c r="E96" i="2" s="1"/>
  <c r="D94" i="2"/>
  <c r="D96" i="2" s="1"/>
  <c r="Q93" i="2"/>
  <c r="O93" i="2"/>
  <c r="N93" i="2"/>
  <c r="M93" i="2"/>
  <c r="L93" i="2"/>
  <c r="K93" i="2"/>
  <c r="J93" i="2"/>
  <c r="I93" i="2"/>
  <c r="H93" i="2"/>
  <c r="G93" i="2"/>
  <c r="F93" i="2"/>
  <c r="E93" i="2"/>
  <c r="D93" i="2"/>
  <c r="C73" i="2"/>
  <c r="C113" i="2" s="1"/>
  <c r="O72" i="2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M73" i="2" s="1"/>
  <c r="L71" i="2"/>
  <c r="K71" i="2"/>
  <c r="K73" i="2" s="1"/>
  <c r="J71" i="2"/>
  <c r="I71" i="2"/>
  <c r="H71" i="2"/>
  <c r="G71" i="2"/>
  <c r="F71" i="2"/>
  <c r="E71" i="2"/>
  <c r="D71" i="2"/>
  <c r="S70" i="2"/>
  <c r="O70" i="2"/>
  <c r="N70" i="2"/>
  <c r="M70" i="2"/>
  <c r="L70" i="2"/>
  <c r="K70" i="2"/>
  <c r="J70" i="2"/>
  <c r="I70" i="2"/>
  <c r="H70" i="2"/>
  <c r="G70" i="2"/>
  <c r="F70" i="2"/>
  <c r="E70" i="2"/>
  <c r="D70" i="2"/>
  <c r="C63" i="2"/>
  <c r="O62" i="2"/>
  <c r="N62" i="2"/>
  <c r="M62" i="2"/>
  <c r="L62" i="2"/>
  <c r="K62" i="2"/>
  <c r="J62" i="2"/>
  <c r="I62" i="2"/>
  <c r="H62" i="2"/>
  <c r="G62" i="2"/>
  <c r="F62" i="2"/>
  <c r="E62" i="2"/>
  <c r="D62" i="2"/>
  <c r="O61" i="2"/>
  <c r="N61" i="2"/>
  <c r="M61" i="2"/>
  <c r="L61" i="2"/>
  <c r="K61" i="2"/>
  <c r="J61" i="2"/>
  <c r="I61" i="2"/>
  <c r="H61" i="2"/>
  <c r="G61" i="2"/>
  <c r="F61" i="2"/>
  <c r="E61" i="2"/>
  <c r="D61" i="2"/>
  <c r="O60" i="2"/>
  <c r="N60" i="2"/>
  <c r="M60" i="2"/>
  <c r="L60" i="2"/>
  <c r="K60" i="2"/>
  <c r="J60" i="2"/>
  <c r="I60" i="2"/>
  <c r="H60" i="2"/>
  <c r="G60" i="2"/>
  <c r="F60" i="2"/>
  <c r="E60" i="2"/>
  <c r="D60" i="2"/>
  <c r="O59" i="2"/>
  <c r="N59" i="2"/>
  <c r="M59" i="2"/>
  <c r="L59" i="2"/>
  <c r="K59" i="2"/>
  <c r="J59" i="2"/>
  <c r="I59" i="2"/>
  <c r="H59" i="2"/>
  <c r="G59" i="2"/>
  <c r="F59" i="2"/>
  <c r="E59" i="2"/>
  <c r="D59" i="2"/>
  <c r="O58" i="2"/>
  <c r="O63" i="2" s="1"/>
  <c r="N58" i="2"/>
  <c r="M58" i="2"/>
  <c r="L58" i="2"/>
  <c r="K58" i="2"/>
  <c r="J58" i="2"/>
  <c r="I58" i="2"/>
  <c r="H58" i="2"/>
  <c r="G58" i="2"/>
  <c r="F58" i="2"/>
  <c r="F63" i="2" s="1"/>
  <c r="E58" i="2"/>
  <c r="D58" i="2"/>
  <c r="C55" i="2"/>
  <c r="O54" i="2"/>
  <c r="N54" i="2"/>
  <c r="M54" i="2"/>
  <c r="L54" i="2"/>
  <c r="K54" i="2"/>
  <c r="J54" i="2"/>
  <c r="I54" i="2"/>
  <c r="H54" i="2"/>
  <c r="G54" i="2"/>
  <c r="F54" i="2"/>
  <c r="E54" i="2"/>
  <c r="D54" i="2"/>
  <c r="O53" i="2"/>
  <c r="N53" i="2"/>
  <c r="M53" i="2"/>
  <c r="L53" i="2"/>
  <c r="K53" i="2"/>
  <c r="J53" i="2"/>
  <c r="I53" i="2"/>
  <c r="H53" i="2"/>
  <c r="G53" i="2"/>
  <c r="F53" i="2"/>
  <c r="E53" i="2"/>
  <c r="D53" i="2"/>
  <c r="O52" i="2"/>
  <c r="O55" i="2" s="1"/>
  <c r="N52" i="2"/>
  <c r="N55" i="2" s="1"/>
  <c r="M52" i="2"/>
  <c r="M55" i="2" s="1"/>
  <c r="L52" i="2"/>
  <c r="K52" i="2"/>
  <c r="K55" i="2" s="1"/>
  <c r="J52" i="2"/>
  <c r="I52" i="2"/>
  <c r="I55" i="2" s="1"/>
  <c r="H52" i="2"/>
  <c r="G52" i="2"/>
  <c r="G55" i="2" s="1"/>
  <c r="F52" i="2"/>
  <c r="E52" i="2"/>
  <c r="E55" i="2" s="1"/>
  <c r="D52" i="2"/>
  <c r="O48" i="2"/>
  <c r="N48" i="2"/>
  <c r="M48" i="2"/>
  <c r="L48" i="2"/>
  <c r="K48" i="2"/>
  <c r="J48" i="2"/>
  <c r="I48" i="2"/>
  <c r="H48" i="2"/>
  <c r="G48" i="2"/>
  <c r="F48" i="2"/>
  <c r="E48" i="2"/>
  <c r="D48" i="2"/>
  <c r="O47" i="2"/>
  <c r="N47" i="2"/>
  <c r="M47" i="2"/>
  <c r="L47" i="2"/>
  <c r="K47" i="2"/>
  <c r="J47" i="2"/>
  <c r="I47" i="2"/>
  <c r="H47" i="2"/>
  <c r="G47" i="2"/>
  <c r="F47" i="2"/>
  <c r="E47" i="2"/>
  <c r="D47" i="2"/>
  <c r="C46" i="2"/>
  <c r="O46" i="2" s="1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O43" i="2"/>
  <c r="N43" i="2"/>
  <c r="M43" i="2"/>
  <c r="L43" i="2"/>
  <c r="K43" i="2"/>
  <c r="J43" i="2"/>
  <c r="I43" i="2"/>
  <c r="H43" i="2"/>
  <c r="G43" i="2"/>
  <c r="F43" i="2"/>
  <c r="E43" i="2"/>
  <c r="D43" i="2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Q41" i="2" s="1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O36" i="2"/>
  <c r="N36" i="2"/>
  <c r="M36" i="2"/>
  <c r="L36" i="2"/>
  <c r="K36" i="2"/>
  <c r="J36" i="2"/>
  <c r="I36" i="2"/>
  <c r="H36" i="2"/>
  <c r="G36" i="2"/>
  <c r="F36" i="2"/>
  <c r="E36" i="2"/>
  <c r="D36" i="2"/>
  <c r="O35" i="2"/>
  <c r="N35" i="2"/>
  <c r="M35" i="2"/>
  <c r="L35" i="2"/>
  <c r="K35" i="2"/>
  <c r="J35" i="2"/>
  <c r="I35" i="2"/>
  <c r="H35" i="2"/>
  <c r="G35" i="2"/>
  <c r="F35" i="2"/>
  <c r="E35" i="2"/>
  <c r="D35" i="2"/>
  <c r="O34" i="2"/>
  <c r="N34" i="2"/>
  <c r="M34" i="2"/>
  <c r="L34" i="2"/>
  <c r="K34" i="2"/>
  <c r="J34" i="2"/>
  <c r="I34" i="2"/>
  <c r="H34" i="2"/>
  <c r="G34" i="2"/>
  <c r="F34" i="2"/>
  <c r="E34" i="2"/>
  <c r="D34" i="2"/>
  <c r="O33" i="2"/>
  <c r="N33" i="2"/>
  <c r="M33" i="2"/>
  <c r="L33" i="2"/>
  <c r="K33" i="2"/>
  <c r="J33" i="2"/>
  <c r="I33" i="2"/>
  <c r="H33" i="2"/>
  <c r="G33" i="2"/>
  <c r="F33" i="2"/>
  <c r="E33" i="2"/>
  <c r="D33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J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8" i="2"/>
  <c r="N28" i="2"/>
  <c r="M28" i="2"/>
  <c r="L28" i="2"/>
  <c r="K28" i="2"/>
  <c r="J28" i="2"/>
  <c r="I28" i="2"/>
  <c r="H28" i="2"/>
  <c r="G28" i="2"/>
  <c r="F28" i="2"/>
  <c r="E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O26" i="2"/>
  <c r="N26" i="2"/>
  <c r="M26" i="2"/>
  <c r="L26" i="2"/>
  <c r="K26" i="2"/>
  <c r="J26" i="2"/>
  <c r="I26" i="2"/>
  <c r="H26" i="2"/>
  <c r="G26" i="2"/>
  <c r="F26" i="2"/>
  <c r="E26" i="2"/>
  <c r="D26" i="2"/>
  <c r="O25" i="2"/>
  <c r="N25" i="2"/>
  <c r="M25" i="2"/>
  <c r="L25" i="2"/>
  <c r="K25" i="2"/>
  <c r="K38" i="2" s="1"/>
  <c r="J25" i="2"/>
  <c r="I25" i="2"/>
  <c r="H25" i="2"/>
  <c r="G25" i="2"/>
  <c r="F25" i="2"/>
  <c r="E25" i="2"/>
  <c r="D25" i="2"/>
  <c r="C20" i="2"/>
  <c r="C115" i="2" s="1"/>
  <c r="O19" i="2"/>
  <c r="N19" i="2"/>
  <c r="M19" i="2"/>
  <c r="L19" i="2"/>
  <c r="K19" i="2"/>
  <c r="J19" i="2"/>
  <c r="I19" i="2"/>
  <c r="H19" i="2"/>
  <c r="G19" i="2"/>
  <c r="F19" i="2"/>
  <c r="E19" i="2"/>
  <c r="D19" i="2"/>
  <c r="O18" i="2"/>
  <c r="N18" i="2"/>
  <c r="M18" i="2"/>
  <c r="L18" i="2"/>
  <c r="K18" i="2"/>
  <c r="J18" i="2"/>
  <c r="I18" i="2"/>
  <c r="H18" i="2"/>
  <c r="G18" i="2"/>
  <c r="F18" i="2"/>
  <c r="E18" i="2"/>
  <c r="D18" i="2"/>
  <c r="O17" i="2"/>
  <c r="N17" i="2"/>
  <c r="N20" i="2" s="1"/>
  <c r="M17" i="2"/>
  <c r="L17" i="2"/>
  <c r="K17" i="2"/>
  <c r="J17" i="2"/>
  <c r="I17" i="2"/>
  <c r="I20" i="2" s="1"/>
  <c r="H17" i="2"/>
  <c r="G17" i="2"/>
  <c r="F17" i="2"/>
  <c r="F20" i="2" s="1"/>
  <c r="E17" i="2"/>
  <c r="D17" i="2"/>
  <c r="C14" i="2"/>
  <c r="C112" i="2" s="1"/>
  <c r="O13" i="2"/>
  <c r="N13" i="2"/>
  <c r="M13" i="2"/>
  <c r="L13" i="2"/>
  <c r="K13" i="2"/>
  <c r="J13" i="2"/>
  <c r="I13" i="2"/>
  <c r="H13" i="2"/>
  <c r="G13" i="2"/>
  <c r="F13" i="2"/>
  <c r="E13" i="2"/>
  <c r="D13" i="2"/>
  <c r="O12" i="2"/>
  <c r="N12" i="2"/>
  <c r="M12" i="2"/>
  <c r="L12" i="2"/>
  <c r="K12" i="2"/>
  <c r="J12" i="2"/>
  <c r="I12" i="2"/>
  <c r="H12" i="2"/>
  <c r="G12" i="2"/>
  <c r="F12" i="2"/>
  <c r="E12" i="2"/>
  <c r="D12" i="2"/>
  <c r="O11" i="2"/>
  <c r="N11" i="2"/>
  <c r="M11" i="2"/>
  <c r="L11" i="2"/>
  <c r="K11" i="2"/>
  <c r="J11" i="2"/>
  <c r="I11" i="2"/>
  <c r="H11" i="2"/>
  <c r="G11" i="2"/>
  <c r="F11" i="2"/>
  <c r="E11" i="2"/>
  <c r="D11" i="2"/>
  <c r="O10" i="2"/>
  <c r="N10" i="2"/>
  <c r="M10" i="2"/>
  <c r="L10" i="2"/>
  <c r="K10" i="2"/>
  <c r="J10" i="2"/>
  <c r="I10" i="2"/>
  <c r="H10" i="2"/>
  <c r="G10" i="2"/>
  <c r="F10" i="2"/>
  <c r="E10" i="2"/>
  <c r="D10" i="2"/>
  <c r="O9" i="2"/>
  <c r="N9" i="2"/>
  <c r="M9" i="2"/>
  <c r="L9" i="2"/>
  <c r="K9" i="2"/>
  <c r="J9" i="2"/>
  <c r="I9" i="2"/>
  <c r="H9" i="2"/>
  <c r="G9" i="2"/>
  <c r="F9" i="2"/>
  <c r="E9" i="2"/>
  <c r="D9" i="2"/>
  <c r="O8" i="2"/>
  <c r="N8" i="2"/>
  <c r="M8" i="2"/>
  <c r="L8" i="2"/>
  <c r="K8" i="2"/>
  <c r="J8" i="2"/>
  <c r="J14" i="2" s="1"/>
  <c r="I8" i="2"/>
  <c r="I14" i="2" s="1"/>
  <c r="H8" i="2"/>
  <c r="G8" i="2"/>
  <c r="G14" i="2" s="1"/>
  <c r="F8" i="2"/>
  <c r="E8" i="2"/>
  <c r="E14" i="2" s="1"/>
  <c r="D8" i="2"/>
  <c r="R4" i="2"/>
  <c r="A1" i="2"/>
  <c r="A2" i="2" s="1"/>
  <c r="D63" i="2" l="1"/>
  <c r="I13" i="3"/>
  <c r="I18" i="3"/>
  <c r="I20" i="3" s="1"/>
  <c r="D13" i="3"/>
  <c r="B18" i="3"/>
  <c r="D18" i="3" s="1"/>
  <c r="D16" i="3"/>
  <c r="H14" i="2"/>
  <c r="G63" i="2"/>
  <c r="F73" i="2"/>
  <c r="E63" i="2"/>
  <c r="D20" i="2"/>
  <c r="L20" i="2"/>
  <c r="N73" i="2"/>
  <c r="E20" i="2"/>
  <c r="E22" i="2" s="1"/>
  <c r="M20" i="2"/>
  <c r="G73" i="2"/>
  <c r="Q34" i="2"/>
  <c r="L63" i="2"/>
  <c r="O14" i="2"/>
  <c r="Q17" i="2"/>
  <c r="S17" i="2" s="1"/>
  <c r="Q81" i="2" s="1"/>
  <c r="Q18" i="2"/>
  <c r="S18" i="2" s="1"/>
  <c r="Q83" i="2" s="1"/>
  <c r="Q19" i="2"/>
  <c r="J38" i="2"/>
  <c r="Q54" i="2"/>
  <c r="O73" i="2"/>
  <c r="C22" i="2"/>
  <c r="J55" i="2"/>
  <c r="F55" i="2"/>
  <c r="N63" i="2"/>
  <c r="J20" i="2"/>
  <c r="J22" i="2" s="1"/>
  <c r="H38" i="2"/>
  <c r="Q33" i="2"/>
  <c r="S33" i="2" s="1"/>
  <c r="K20" i="2"/>
  <c r="E38" i="2"/>
  <c r="M38" i="2"/>
  <c r="Q29" i="2"/>
  <c r="S29" i="2" s="1"/>
  <c r="H55" i="2"/>
  <c r="Q53" i="2"/>
  <c r="S53" i="2" s="1"/>
  <c r="H63" i="2"/>
  <c r="Q62" i="2"/>
  <c r="R62" i="2" s="1"/>
  <c r="J73" i="2"/>
  <c r="Q44" i="2"/>
  <c r="R44" i="2" s="1"/>
  <c r="D46" i="2"/>
  <c r="M63" i="2"/>
  <c r="Q9" i="2"/>
  <c r="S9" i="2" s="1"/>
  <c r="F46" i="2"/>
  <c r="F49" i="2" s="1"/>
  <c r="J63" i="2"/>
  <c r="D73" i="2"/>
  <c r="L73" i="2"/>
  <c r="M14" i="2"/>
  <c r="Q13" i="2"/>
  <c r="S13" i="2" s="1"/>
  <c r="Q26" i="2"/>
  <c r="Q37" i="2"/>
  <c r="R37" i="2" s="1"/>
  <c r="I46" i="2"/>
  <c r="I49" i="2" s="1"/>
  <c r="K63" i="2"/>
  <c r="R70" i="2"/>
  <c r="H73" i="2"/>
  <c r="I73" i="2"/>
  <c r="H46" i="2"/>
  <c r="H49" i="2" s="1"/>
  <c r="Q43" i="2"/>
  <c r="L46" i="2"/>
  <c r="L49" i="2" s="1"/>
  <c r="N46" i="2"/>
  <c r="N49" i="2" s="1"/>
  <c r="Q47" i="2"/>
  <c r="S47" i="2" s="1"/>
  <c r="C49" i="2"/>
  <c r="C65" i="2" s="1"/>
  <c r="C116" i="2" s="1"/>
  <c r="R17" i="2"/>
  <c r="R19" i="2"/>
  <c r="S19" i="2"/>
  <c r="Q84" i="2" s="1"/>
  <c r="K14" i="2"/>
  <c r="Q35" i="2"/>
  <c r="Q48" i="2"/>
  <c r="Q60" i="2"/>
  <c r="E73" i="2"/>
  <c r="Q71" i="2"/>
  <c r="D14" i="2"/>
  <c r="D22" i="2" s="1"/>
  <c r="L14" i="2"/>
  <c r="L22" i="2" s="1"/>
  <c r="Q11" i="2"/>
  <c r="Q25" i="2"/>
  <c r="L38" i="2"/>
  <c r="Q27" i="2"/>
  <c r="Q30" i="2"/>
  <c r="I63" i="2"/>
  <c r="Q61" i="2"/>
  <c r="H20" i="2"/>
  <c r="H22" i="2" s="1"/>
  <c r="F38" i="2"/>
  <c r="N38" i="2"/>
  <c r="Q32" i="2"/>
  <c r="R47" i="2"/>
  <c r="S44" i="2"/>
  <c r="R13" i="2"/>
  <c r="R29" i="2"/>
  <c r="R41" i="2"/>
  <c r="S43" i="2"/>
  <c r="R43" i="2"/>
  <c r="F14" i="2"/>
  <c r="F22" i="2" s="1"/>
  <c r="Q10" i="2"/>
  <c r="G38" i="2"/>
  <c r="O38" i="2"/>
  <c r="D55" i="2"/>
  <c r="L55" i="2"/>
  <c r="Q42" i="2"/>
  <c r="Q31" i="2"/>
  <c r="N14" i="2"/>
  <c r="N22" i="2" s="1"/>
  <c r="Q8" i="2"/>
  <c r="Q12" i="2"/>
  <c r="C114" i="2"/>
  <c r="D115" i="2" s="1"/>
  <c r="G20" i="2"/>
  <c r="G22" i="2" s="1"/>
  <c r="O20" i="2"/>
  <c r="O22" i="2" s="1"/>
  <c r="S26" i="2"/>
  <c r="R26" i="2"/>
  <c r="Q28" i="2"/>
  <c r="S34" i="2"/>
  <c r="R34" i="2"/>
  <c r="Q36" i="2"/>
  <c r="O49" i="2"/>
  <c r="S54" i="2"/>
  <c r="R54" i="2"/>
  <c r="I22" i="2"/>
  <c r="I38" i="2"/>
  <c r="Q45" i="2"/>
  <c r="Q59" i="2"/>
  <c r="D38" i="2"/>
  <c r="J46" i="2"/>
  <c r="J49" i="2" s="1"/>
  <c r="D49" i="2"/>
  <c r="Q58" i="2"/>
  <c r="Q72" i="2"/>
  <c r="K46" i="2"/>
  <c r="K49" i="2" s="1"/>
  <c r="E46" i="2"/>
  <c r="M46" i="2"/>
  <c r="M49" i="2" s="1"/>
  <c r="M65" i="2" s="1"/>
  <c r="Q52" i="2"/>
  <c r="G46" i="2"/>
  <c r="G49" i="2" s="1"/>
  <c r="K65" i="2" l="1"/>
  <c r="D20" i="3"/>
  <c r="R53" i="2"/>
  <c r="Q20" i="2"/>
  <c r="R18" i="2"/>
  <c r="K22" i="2"/>
  <c r="G65" i="2"/>
  <c r="G67" i="2" s="1"/>
  <c r="G75" i="2" s="1"/>
  <c r="M22" i="2"/>
  <c r="M67" i="2" s="1"/>
  <c r="M75" i="2" s="1"/>
  <c r="N65" i="2"/>
  <c r="N67" i="2" s="1"/>
  <c r="N75" i="2" s="1"/>
  <c r="S37" i="2"/>
  <c r="F65" i="2"/>
  <c r="H65" i="2"/>
  <c r="H67" i="2" s="1"/>
  <c r="H75" i="2" s="1"/>
  <c r="R33" i="2"/>
  <c r="I65" i="2"/>
  <c r="I67" i="2" s="1"/>
  <c r="I75" i="2" s="1"/>
  <c r="J65" i="2"/>
  <c r="J67" i="2" s="1"/>
  <c r="J75" i="2" s="1"/>
  <c r="O65" i="2"/>
  <c r="O67" i="2" s="1"/>
  <c r="O75" i="2" s="1"/>
  <c r="S62" i="2"/>
  <c r="R9" i="2"/>
  <c r="F67" i="2"/>
  <c r="F75" i="2" s="1"/>
  <c r="D67" i="2"/>
  <c r="D75" i="2" s="1"/>
  <c r="D116" i="2"/>
  <c r="C67" i="2"/>
  <c r="C75" i="2" s="1"/>
  <c r="R45" i="2"/>
  <c r="S45" i="2"/>
  <c r="S27" i="2"/>
  <c r="R27" i="2"/>
  <c r="R32" i="2"/>
  <c r="S32" i="2"/>
  <c r="S61" i="2"/>
  <c r="R61" i="2"/>
  <c r="S25" i="2"/>
  <c r="Q38" i="2"/>
  <c r="R25" i="2"/>
  <c r="S60" i="2"/>
  <c r="R60" i="2"/>
  <c r="K67" i="2"/>
  <c r="K75" i="2" s="1"/>
  <c r="S52" i="2"/>
  <c r="R52" i="2"/>
  <c r="Q55" i="2"/>
  <c r="S31" i="2"/>
  <c r="R31" i="2"/>
  <c r="S11" i="2"/>
  <c r="Q80" i="2" s="1"/>
  <c r="R11" i="2"/>
  <c r="S42" i="2"/>
  <c r="R42" i="2"/>
  <c r="S71" i="2"/>
  <c r="R71" i="2"/>
  <c r="Q73" i="2"/>
  <c r="R73" i="2" s="1"/>
  <c r="R20" i="2"/>
  <c r="S20" i="2"/>
  <c r="S59" i="2"/>
  <c r="R59" i="2"/>
  <c r="S36" i="2"/>
  <c r="R36" i="2"/>
  <c r="Q46" i="2"/>
  <c r="S12" i="2"/>
  <c r="R12" i="2"/>
  <c r="E49" i="2"/>
  <c r="E65" i="2" s="1"/>
  <c r="E67" i="2" s="1"/>
  <c r="E75" i="2" s="1"/>
  <c r="R10" i="2"/>
  <c r="S10" i="2"/>
  <c r="Q63" i="2"/>
  <c r="S58" i="2"/>
  <c r="R58" i="2"/>
  <c r="R8" i="2"/>
  <c r="Q14" i="2"/>
  <c r="S8" i="2"/>
  <c r="R48" i="2"/>
  <c r="S48" i="2"/>
  <c r="S72" i="2"/>
  <c r="R72" i="2"/>
  <c r="S28" i="2"/>
  <c r="R28" i="2"/>
  <c r="L65" i="2"/>
  <c r="L67" i="2" s="1"/>
  <c r="L75" i="2" s="1"/>
  <c r="R30" i="2"/>
  <c r="S30" i="2"/>
  <c r="S35" i="2"/>
  <c r="R35" i="2"/>
  <c r="R46" i="2" l="1"/>
  <c r="S46" i="2"/>
  <c r="R38" i="2"/>
  <c r="S38" i="2"/>
  <c r="Q85" i="2" s="1"/>
  <c r="R63" i="2"/>
  <c r="S63" i="2"/>
  <c r="Q86" i="2" s="1"/>
  <c r="Q49" i="2"/>
  <c r="Q65" i="2" s="1"/>
  <c r="S55" i="2"/>
  <c r="R55" i="2"/>
  <c r="Q22" i="2"/>
  <c r="S14" i="2"/>
  <c r="R14" i="2"/>
  <c r="R65" i="2" l="1"/>
  <c r="S65" i="2"/>
  <c r="R22" i="2"/>
  <c r="Q67" i="2"/>
  <c r="S22" i="2"/>
  <c r="R49" i="2"/>
  <c r="S49" i="2"/>
  <c r="Q82" i="2" s="1"/>
  <c r="Q87" i="2" s="1"/>
  <c r="R67" i="2" l="1"/>
  <c r="Q75" i="2"/>
  <c r="S67" i="2"/>
  <c r="Q77" i="2" l="1"/>
  <c r="S75" i="2"/>
  <c r="R75" i="2"/>
  <c r="B128" i="2"/>
  <c r="H105" i="2"/>
  <c r="H102" i="2"/>
  <c r="H100" i="2"/>
  <c r="N97" i="7"/>
  <c r="N99" i="7"/>
  <c r="N102" i="7"/>
  <c r="E100" i="2"/>
  <c r="E102" i="2"/>
  <c r="E105" i="2"/>
  <c r="O97" i="7"/>
  <c r="O99" i="7"/>
  <c r="O102" i="7"/>
  <c r="E97" i="7"/>
  <c r="E99" i="7"/>
  <c r="E102" i="7"/>
  <c r="K102" i="7"/>
  <c r="K99" i="7"/>
  <c r="K97" i="7"/>
  <c r="H102" i="7"/>
  <c r="H99" i="7"/>
  <c r="H97" i="7"/>
  <c r="D100" i="2"/>
  <c r="D102" i="2"/>
  <c r="D105" i="2"/>
  <c r="D97" i="7"/>
  <c r="D99" i="7"/>
  <c r="D102" i="7"/>
  <c r="M100" i="2"/>
  <c r="M102" i="2"/>
  <c r="M105" i="2"/>
  <c r="I97" i="7"/>
  <c r="I99" i="7"/>
  <c r="I102" i="7"/>
  <c r="F97" i="7"/>
  <c r="F99" i="7"/>
  <c r="F102" i="7"/>
  <c r="J100" i="2"/>
  <c r="J102" i="2"/>
  <c r="J105" i="2"/>
  <c r="O105" i="2"/>
  <c r="O102" i="2"/>
  <c r="O100" i="2"/>
  <c r="L105" i="2"/>
  <c r="L102" i="2"/>
  <c r="L100" i="2"/>
  <c r="G105" i="2"/>
  <c r="G102" i="2"/>
  <c r="G100" i="2"/>
  <c r="I100" i="2"/>
  <c r="I102" i="2"/>
  <c r="I105" i="2"/>
  <c r="F105" i="2"/>
  <c r="F102" i="2"/>
  <c r="F100" i="2"/>
  <c r="G97" i="7"/>
  <c r="G99" i="7"/>
  <c r="G102" i="7"/>
  <c r="N100" i="2"/>
  <c r="N102" i="2"/>
  <c r="N105" i="2"/>
  <c r="Q100" i="2"/>
  <c r="Q105" i="2"/>
  <c r="L102" i="7"/>
  <c r="L99" i="7"/>
  <c r="L97" i="7"/>
  <c r="K100" i="2"/>
  <c r="Q102" i="2"/>
  <c r="K102" i="2"/>
  <c r="K105" i="2"/>
  <c r="J102" i="7"/>
  <c r="J99" i="7"/>
  <c r="J97" i="7"/>
  <c r="M102" i="7"/>
  <c r="M99" i="7"/>
  <c r="M97" i="7"/>
  <c r="P97" i="7"/>
  <c r="P99" i="7"/>
  <c r="P102" i="7"/>
</calcChain>
</file>

<file path=xl/sharedStrings.xml><?xml version="1.0" encoding="utf-8"?>
<sst xmlns="http://schemas.openxmlformats.org/spreadsheetml/2006/main" count="486" uniqueCount="229">
  <si>
    <t>Example</t>
  </si>
  <si>
    <t>DRAFT FY25 Budget</t>
  </si>
  <si>
    <t>Increase/
(decrease) in Budget</t>
  </si>
  <si>
    <t xml:space="preserve"> FY2025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</si>
  <si>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</si>
  <si>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</si>
  <si>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</si>
  <si>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</si>
  <si>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</si>
  <si>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</si>
  <si>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</si>
  <si>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</si>
  <si>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</si>
  <si>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</si>
  <si>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</si>
  <si>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</si>
  <si>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NEW BUDGET</t>
  </si>
  <si>
    <t>check</t>
  </si>
  <si>
    <t>Increase/
(decrease) 
in Budget</t>
  </si>
  <si>
    <t>Operating Revenue</t>
  </si>
  <si>
    <t>Meals - Subsidised</t>
  </si>
  <si>
    <t>4-1000</t>
  </si>
  <si>
    <t>Meals - HCP</t>
  </si>
  <si>
    <t>4-1100</t>
  </si>
  <si>
    <t>Meals - NDIS</t>
  </si>
  <si>
    <t>4-1200</t>
  </si>
  <si>
    <t>Meals - Full Fee</t>
  </si>
  <si>
    <t>4-2000</t>
  </si>
  <si>
    <t>Donations &amp; Fundraising</t>
  </si>
  <si>
    <t>4-3000</t>
  </si>
  <si>
    <t>Other Income</t>
  </si>
  <si>
    <t>4-5000</t>
  </si>
  <si>
    <t>Cost of Goods Sold</t>
  </si>
  <si>
    <t xml:space="preserve">Provisions </t>
  </si>
  <si>
    <t>5-2000</t>
  </si>
  <si>
    <t>Packaging</t>
  </si>
  <si>
    <t>5-3000</t>
  </si>
  <si>
    <t>Freight</t>
  </si>
  <si>
    <t>5-4000</t>
  </si>
  <si>
    <t>GROSS MARGIN</t>
  </si>
  <si>
    <t>Operating Expenses</t>
  </si>
  <si>
    <t>Consumables (Assets &lt; $1000)</t>
  </si>
  <si>
    <t>6-1300</t>
  </si>
  <si>
    <t>Bad and Doubtful Debts Expense</t>
  </si>
  <si>
    <t>6-1400</t>
  </si>
  <si>
    <t>Bank Charges</t>
  </si>
  <si>
    <t>6-1500</t>
  </si>
  <si>
    <t>Gifts &amp; Donations inc. Hardship</t>
  </si>
  <si>
    <t>6-1750</t>
  </si>
  <si>
    <t>Information Technology</t>
  </si>
  <si>
    <t>6-1800</t>
  </si>
  <si>
    <r>
      <t xml:space="preserve">Professional fees </t>
    </r>
    <r>
      <rPr>
        <i/>
        <sz val="8"/>
        <rFont val="Calibri"/>
        <family val="2"/>
        <scheme val="minor"/>
      </rPr>
      <t>(Audits etc)</t>
    </r>
  </si>
  <si>
    <t>6-1900</t>
  </si>
  <si>
    <t>Depreciation</t>
  </si>
  <si>
    <t>6-2000</t>
  </si>
  <si>
    <t>Insurance - General</t>
  </si>
  <si>
    <t>6-2300</t>
  </si>
  <si>
    <r>
      <t xml:space="preserve">Admin Expenses </t>
    </r>
    <r>
      <rPr>
        <i/>
        <sz val="8"/>
        <rFont val="Calibri"/>
        <family val="2"/>
        <scheme val="minor"/>
      </rPr>
      <t>(Printing &amp; Stationery etc)</t>
    </r>
  </si>
  <si>
    <t>6-2700</t>
  </si>
  <si>
    <t>Repairs &amp; Maintenance</t>
  </si>
  <si>
    <t>6-3000</t>
  </si>
  <si>
    <t>Subscriptions &amp; Memberships</t>
  </si>
  <si>
    <t>6-3200</t>
  </si>
  <si>
    <t>Sundry</t>
  </si>
  <si>
    <t>6-3300</t>
  </si>
  <si>
    <t>Volunteer</t>
  </si>
  <si>
    <t>6-3500</t>
  </si>
  <si>
    <t>Employee Expenses</t>
  </si>
  <si>
    <t>Protective Clothing</t>
  </si>
  <si>
    <t>6-4100</t>
  </si>
  <si>
    <t>Provision Annual Leave</t>
  </si>
  <si>
    <t>6-4200</t>
  </si>
  <si>
    <t>PLSL Expense</t>
  </si>
  <si>
    <t>6-4350</t>
  </si>
  <si>
    <t>Staff Amenities</t>
  </si>
  <si>
    <t>6-4400</t>
  </si>
  <si>
    <t>Staff Training</t>
  </si>
  <si>
    <t>6-4500</t>
  </si>
  <si>
    <t>Superannuation</t>
  </si>
  <si>
    <t>6-4600</t>
  </si>
  <si>
    <t>Wages &amp; Salaries</t>
  </si>
  <si>
    <t>6-4800</t>
  </si>
  <si>
    <t>Workcover</t>
  </si>
  <si>
    <t>6-4900</t>
  </si>
  <si>
    <t>Utilities</t>
  </si>
  <si>
    <t>Utilities (Gas/Electricity/Water)</t>
  </si>
  <si>
    <t>6-5400</t>
  </si>
  <si>
    <t>Rates and taxes</t>
  </si>
  <si>
    <t>6-5900</t>
  </si>
  <si>
    <t>Communication / Telephone</t>
  </si>
  <si>
    <t>6-6100</t>
  </si>
  <si>
    <t>Travel Costs</t>
  </si>
  <si>
    <t>Air fares</t>
  </si>
  <si>
    <t>6-7100</t>
  </si>
  <si>
    <t>Accommodation</t>
  </si>
  <si>
    <t>6-7200</t>
  </si>
  <si>
    <t>Meals</t>
  </si>
  <si>
    <t>6-7300</t>
  </si>
  <si>
    <t>Vehicle hire</t>
  </si>
  <si>
    <t>6-7400</t>
  </si>
  <si>
    <t>Other travel costs</t>
  </si>
  <si>
    <t>6-7500</t>
  </si>
  <si>
    <t>TOTAL EXPENSE</t>
  </si>
  <si>
    <r>
      <t>OPERATING SURPLUS / (</t>
    </r>
    <r>
      <rPr>
        <b/>
        <sz val="11"/>
        <color rgb="FFFF0000"/>
        <rFont val="Calibri"/>
        <family val="2"/>
        <scheme val="minor"/>
      </rPr>
      <t>DEFICIT</t>
    </r>
    <r>
      <rPr>
        <b/>
        <sz val="11"/>
        <color theme="1"/>
        <rFont val="Calibri"/>
        <family val="2"/>
        <scheme val="minor"/>
      </rPr>
      <t>)</t>
    </r>
  </si>
  <si>
    <t>External Funding Sources</t>
  </si>
  <si>
    <t>Grants - one off</t>
  </si>
  <si>
    <t>8-1000</t>
  </si>
  <si>
    <t>Commonwealth Grants (CHSP)</t>
  </si>
  <si>
    <t>8-2000</t>
  </si>
  <si>
    <t>State Grants</t>
  </si>
  <si>
    <t>8-2200</t>
  </si>
  <si>
    <r>
      <t xml:space="preserve">NET </t>
    </r>
    <r>
      <rPr>
        <b/>
        <sz val="12"/>
        <color rgb="FF00B050"/>
        <rFont val="Calibri"/>
        <family val="2"/>
        <scheme val="minor"/>
      </rPr>
      <t>SURPLUS</t>
    </r>
    <r>
      <rPr>
        <b/>
        <sz val="12"/>
        <color theme="1"/>
        <rFont val="Calibri"/>
        <family val="2"/>
        <scheme val="minor"/>
      </rPr>
      <t xml:space="preserve"> / (</t>
    </r>
    <r>
      <rPr>
        <b/>
        <sz val="12"/>
        <color rgb="FFFF0000"/>
        <rFont val="Calibri"/>
        <family val="2"/>
        <scheme val="minor"/>
      </rPr>
      <t>DEFICIT</t>
    </r>
    <r>
      <rPr>
        <b/>
        <sz val="12"/>
        <color theme="1"/>
        <rFont val="Calibri"/>
        <family val="2"/>
        <scheme val="minor"/>
      </rPr>
      <t>)</t>
    </r>
  </si>
  <si>
    <t>Increase to Budget</t>
  </si>
  <si>
    <t>Changes</t>
  </si>
  <si>
    <t>See each Service TAB where the changes are highlighted in Green</t>
  </si>
  <si>
    <t>Biloela Meals</t>
  </si>
  <si>
    <t>Meal Income</t>
  </si>
  <si>
    <t>Biloela Meals $15,120 offset by a $7,810 decrease for Wide Bay meals due to a portion of original budget relating to packaging which is now seperated</t>
  </si>
  <si>
    <t>Provisions - Biloela</t>
  </si>
  <si>
    <t>Pick n Packer Role for Gayndah MoW from Feb 24</t>
  </si>
  <si>
    <t>Wages</t>
  </si>
  <si>
    <t>Wide Bay - $7,810 reallocation from Provisions,  Gayndah - small budget to cover bags etc</t>
  </si>
  <si>
    <t>Gayndah delivery cost have increased from $80 to $390 per delivery &amp; Longreach Container freight increased by up to 480%</t>
  </si>
  <si>
    <t>Small increase to bank charges, depreciation &amp; insurance &amp; the rest relates to general exp for Biloela</t>
  </si>
  <si>
    <t>General Operating Exp</t>
  </si>
  <si>
    <t>Increase to Longreach as over budget due to NMOW, Fuel added for Gayndah &amp; travel for Biloela - 3 trips (there shoul be some beef in this)</t>
  </si>
  <si>
    <t>Travel</t>
  </si>
  <si>
    <t>Outputs</t>
  </si>
  <si>
    <t>&lt; 65</t>
  </si>
  <si>
    <t>&gt; 65</t>
  </si>
  <si>
    <t>Total</t>
  </si>
  <si>
    <t>% Allocation</t>
  </si>
  <si>
    <t># of fortnights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</si>
  <si>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</si>
  <si>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</si>
  <si>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</si>
  <si>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</si>
  <si>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</si>
  <si>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</si>
  <si>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</si>
  <si>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</si>
  <si>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</si>
  <si>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</si>
  <si>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</si>
  <si>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</si>
  <si>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Meal Numbers</t>
  </si>
  <si>
    <t>Subsidised</t>
  </si>
  <si>
    <t>Total - Subsidised</t>
  </si>
  <si>
    <t>HCP</t>
  </si>
  <si>
    <t>NDIS</t>
  </si>
  <si>
    <t>Total - All Meals</t>
  </si>
  <si>
    <t>Average raw food cost</t>
  </si>
  <si>
    <t>Average meal cost (Subsidised)</t>
  </si>
  <si>
    <t>Average meal cost (HCPs)</t>
  </si>
  <si>
    <t>Average meal cost (NDIS)</t>
  </si>
  <si>
    <t>Meals Income</t>
  </si>
  <si>
    <t>Funding</t>
  </si>
  <si>
    <t>COGS</t>
  </si>
  <si>
    <t>Check</t>
  </si>
  <si>
    <t>Longreach</t>
  </si>
  <si>
    <t>Wide Bay</t>
  </si>
  <si>
    <t>Fitzroy</t>
  </si>
  <si>
    <t>Work out how much it costs to buy or produce your meals</t>
  </si>
  <si>
    <t>Cooking Services: What are your total COGS and divide this by your outputs</t>
  </si>
  <si>
    <t>Buy-in Services: Provisions are generally fixed, variable costs like freight should be divided by your outputs.</t>
  </si>
  <si>
    <t>Cost Per Meal</t>
  </si>
  <si>
    <t>Client Contributions</t>
  </si>
  <si>
    <t>TOTAL</t>
  </si>
  <si>
    <t>Loss Per Meal</t>
  </si>
  <si>
    <t>Gain Per Meal</t>
  </si>
  <si>
    <t>Meals sold @ $10.00</t>
  </si>
  <si>
    <t>Meals sold @ $11.00</t>
  </si>
  <si>
    <t>Budget</t>
  </si>
  <si>
    <t>Variance</t>
  </si>
  <si>
    <t>% Variance</t>
  </si>
  <si>
    <t>YTD</t>
  </si>
  <si>
    <t>Selected Period</t>
  </si>
  <si>
    <t>Actual v Budget</t>
  </si>
  <si>
    <t>Notes</t>
  </si>
  <si>
    <t>Client Gifts &amp; Donations inc. Hardship</t>
  </si>
  <si>
    <t>OPERATING SURPLUS / (DEFICIT)</t>
  </si>
  <si>
    <t>NET SURPLUS / (DEFICIT)</t>
  </si>
  <si>
    <t>various clients in hospital or away</t>
  </si>
  <si>
    <t>Unit Price</t>
  </si>
  <si>
    <t>Total Contract Value</t>
  </si>
  <si>
    <t>Total Units</t>
  </si>
  <si>
    <t>Units per Month</t>
  </si>
  <si>
    <t>CHSP Outputs</t>
  </si>
  <si>
    <t>Month to Date</t>
  </si>
  <si>
    <t>Budgeted</t>
  </si>
  <si>
    <t>$ Diff - Fav/ (Unfav)</t>
  </si>
  <si>
    <t>Year to Date</t>
  </si>
  <si>
    <t>Grant income</t>
  </si>
  <si>
    <t>Other income</t>
  </si>
  <si>
    <t>Total Income</t>
  </si>
  <si>
    <t>Total Employee Benefits</t>
  </si>
  <si>
    <t>Total Expenses</t>
  </si>
  <si>
    <t xml:space="preserve">Total Outputs </t>
  </si>
  <si>
    <t>Total Operating Expenses</t>
  </si>
  <si>
    <t>Total Utilities</t>
  </si>
  <si>
    <r>
      <t>Operating Surplus/(</t>
    </r>
    <r>
      <rPr>
        <b/>
        <sz val="9"/>
        <color rgb="FFFF0000"/>
        <rFont val="Arial"/>
        <family val="2"/>
      </rPr>
      <t>Deficit</t>
    </r>
    <r>
      <rPr>
        <b/>
        <sz val="9"/>
        <rFont val="Arial"/>
        <family val="2"/>
      </rPr>
      <t>)</t>
    </r>
  </si>
  <si>
    <t>CHSP P/M</t>
  </si>
  <si>
    <t>Output Type</t>
  </si>
  <si>
    <t xml:space="preserve">CHSP </t>
  </si>
  <si>
    <t>Full Fee</t>
  </si>
  <si>
    <t>% to Contract</t>
  </si>
  <si>
    <t>Category</t>
  </si>
  <si>
    <t>Under/Over</t>
  </si>
  <si>
    <t>Explanation</t>
  </si>
  <si>
    <t>Under</t>
  </si>
  <si>
    <t>Total Cost of Goods Sold</t>
  </si>
  <si>
    <t>in-line with reduced meals</t>
  </si>
  <si>
    <t>Over</t>
  </si>
  <si>
    <t>Employee Benefits</t>
  </si>
  <si>
    <t>$1000 Finacial Review costs, $250 to fix toilet, $700 NMOW Day gifts</t>
  </si>
  <si>
    <t>Chef on extended personal leave, casual staff required</t>
  </si>
  <si>
    <t>Window's upgrade &amp; cyber protection</t>
  </si>
  <si>
    <t>Chef was on extended personal leave, casual staff req'd. Chef left and entitlements paid. New Chef on a higher rate and new PT Admin staff</t>
  </si>
  <si>
    <t>increase in HCP clients</t>
  </si>
  <si>
    <t>I would not increase meal income unless a significant change</t>
  </si>
  <si>
    <t>took on a new delivery area</t>
  </si>
  <si>
    <t xml:space="preserve">a new service </t>
  </si>
  <si>
    <t>I would only increase provisions if a significant increase in the cogs</t>
  </si>
  <si>
    <t>new laptops, depreciation is extra each month</t>
  </si>
  <si>
    <t>electrical fault &amp; plumbing issue</t>
  </si>
  <si>
    <t>increase in CHSP clients</t>
  </si>
  <si>
    <t>Not meeting expectations</t>
  </si>
  <si>
    <t>Revised 
Budget</t>
  </si>
  <si>
    <t>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</si>
</sst>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_);_(* \(#,##0\);_(* &quot;-&quot;_);_(@_)"/>
    <numFmt numFmtId="166" formatCode="&quot;$&quot;#,##0;[Red]\(&quot;$&quot;#,##0\)"/>
    <numFmt numFmtId="167" formatCode="_-* #,##0_-;\-* #,##0_-;_-* &quot;-&quot;??_-;_-@_-"/>
    <numFmt numFmtId="168" formatCode="&quot;$&quot;#,##0.00;\(&quot;$&quot;#,##0.00\)"/>
    <numFmt numFmtId="169" formatCode="&quot;$&quot;#,##0;\(&quot;$&quot;#,##0\)"/>
    <numFmt numFmtId="170" formatCode="#,##0;\(#,##0\)"/>
    <numFmt numFmtId="171" formatCode="mmmm\ yyyy"/>
    <numFmt numFmtId="172" formatCode="_(* #,##0_);_(* \(#,##0\);_(* &quot;-&quot;??_);_(@_)"/>
    <numFmt numFmtId="173" formatCode="_-* #,##0.00_-;\-* #,##0.00_-;_-* &quot;-&quot;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singleAccounting"/>
      <sz val="12"/>
      <color rgb="FFFF0000"/>
      <name val="Calibri"/>
      <family val="2"/>
      <scheme val="minor"/>
    </font>
    <font>
      <sz val="11"/>
      <color rgb="FF34B23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36"/>
      <name val="Calibri"/>
      <family val="2"/>
      <scheme val="minor"/>
    </font>
    <font>
      <sz val="11"/>
      <color indexed="36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color rgb="FF031F73"/>
      <name val="Arial"/>
      <family val="2"/>
    </font>
    <font>
      <sz val="12"/>
      <color rgb="FF031F73"/>
      <name val="Lato"/>
    </font>
    <font>
      <b/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  <font>
      <b/>
      <i/>
      <sz val="12"/>
      <color theme="4" tint="0.39997558519241921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4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262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0" xfId="0" applyFont="1"/>
    <xf numFmtId="164" fontId="10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11" fillId="0" borderId="0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 wrapText="1"/>
    </xf>
    <xf numFmtId="164" fontId="13" fillId="0" borderId="1" xfId="4" applyNumberFormat="1" applyFont="1" applyBorder="1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quotePrefix="1" applyFont="1"/>
    <xf numFmtId="164" fontId="8" fillId="0" borderId="0" xfId="2" applyNumberFormat="1" applyFont="1"/>
    <xf numFmtId="165" fontId="14" fillId="0" borderId="0" xfId="0" applyNumberFormat="1" applyFont="1"/>
    <xf numFmtId="164" fontId="10" fillId="0" borderId="1" xfId="4" applyNumberFormat="1" applyFont="1" applyBorder="1"/>
    <xf numFmtId="165" fontId="8" fillId="0" borderId="0" xfId="0" applyNumberFormat="1" applyFont="1"/>
    <xf numFmtId="164" fontId="4" fillId="0" borderId="2" xfId="2" applyNumberFormat="1" applyFont="1" applyFill="1" applyBorder="1"/>
    <xf numFmtId="164" fontId="10" fillId="0" borderId="3" xfId="4" applyNumberFormat="1" applyFont="1" applyBorder="1"/>
    <xf numFmtId="165" fontId="4" fillId="0" borderId="0" xfId="0" applyNumberFormat="1" applyFont="1"/>
    <xf numFmtId="164" fontId="11" fillId="0" borderId="0" xfId="2" applyNumberFormat="1" applyFont="1"/>
    <xf numFmtId="165" fontId="15" fillId="0" borderId="0" xfId="0" applyNumberFormat="1" applyFont="1"/>
    <xf numFmtId="164" fontId="8" fillId="0" borderId="0" xfId="2" applyNumberFormat="1" applyFont="1" applyFill="1"/>
    <xf numFmtId="164" fontId="13" fillId="0" borderId="3" xfId="4" applyNumberFormat="1" applyFont="1" applyBorder="1"/>
    <xf numFmtId="164" fontId="4" fillId="0" borderId="0" xfId="2" applyNumberFormat="1" applyFont="1"/>
    <xf numFmtId="164" fontId="16" fillId="4" borderId="2" xfId="2" applyNumberFormat="1" applyFont="1" applyFill="1" applyBorder="1"/>
    <xf numFmtId="164" fontId="17" fillId="5" borderId="3" xfId="2" applyNumberFormat="1" applyFont="1" applyFill="1" applyBorder="1"/>
    <xf numFmtId="44" fontId="8" fillId="0" borderId="0" xfId="2" applyFont="1"/>
    <xf numFmtId="164" fontId="4" fillId="6" borderId="2" xfId="2" applyNumberFormat="1" applyFont="1" applyFill="1" applyBorder="1"/>
    <xf numFmtId="0" fontId="4" fillId="0" borderId="0" xfId="0" applyFont="1" applyAlignment="1">
      <alignment horizontal="right"/>
    </xf>
    <xf numFmtId="164" fontId="16" fillId="4" borderId="4" xfId="2" applyNumberFormat="1" applyFont="1" applyFill="1" applyBorder="1"/>
    <xf numFmtId="164" fontId="10" fillId="0" borderId="5" xfId="4" applyNumberFormat="1" applyFont="1" applyBorder="1"/>
    <xf numFmtId="0" fontId="4" fillId="0" borderId="0" xfId="0" applyFont="1" applyAlignment="1">
      <alignment horizontal="left" vertical="center"/>
    </xf>
    <xf numFmtId="164" fontId="18" fillId="0" borderId="3" xfId="2" applyNumberFormat="1" applyFont="1" applyFill="1" applyBorder="1"/>
    <xf numFmtId="0" fontId="19" fillId="0" borderId="0" xfId="0" applyFont="1" applyAlignment="1">
      <alignment horizontal="right" vertical="center"/>
    </xf>
    <xf numFmtId="0" fontId="21" fillId="0" borderId="0" xfId="0" applyFont="1"/>
    <xf numFmtId="164" fontId="20" fillId="5" borderId="6" xfId="2" applyNumberFormat="1" applyFont="1" applyFill="1" applyBorder="1"/>
    <xf numFmtId="164" fontId="20" fillId="0" borderId="0" xfId="2" applyNumberFormat="1" applyFont="1" applyFill="1" applyBorder="1"/>
    <xf numFmtId="164" fontId="18" fillId="0" borderId="0" xfId="2" applyNumberFormat="1" applyFont="1" applyFill="1" applyBorder="1"/>
    <xf numFmtId="164" fontId="22" fillId="0" borderId="0" xfId="0" applyNumberFormat="1" applyFont="1" applyAlignment="1">
      <alignment horizontal="right"/>
    </xf>
    <xf numFmtId="44" fontId="22" fillId="5" borderId="0" xfId="2" applyFont="1" applyFill="1" applyBorder="1"/>
    <xf numFmtId="164" fontId="23" fillId="0" borderId="0" xfId="2" applyNumberFormat="1" applyFont="1" applyFill="1" applyBorder="1"/>
    <xf numFmtId="164" fontId="13" fillId="0" borderId="0" xfId="4" applyNumberFormat="1" applyFont="1" applyFill="1" applyBorder="1"/>
    <xf numFmtId="165" fontId="8" fillId="0" borderId="0" xfId="0" applyNumberFormat="1" applyFont="1" applyAlignment="1">
      <alignment horizontal="right"/>
    </xf>
    <xf numFmtId="164" fontId="24" fillId="0" borderId="0" xfId="2" applyNumberFormat="1" applyFont="1" applyBorder="1"/>
    <xf numFmtId="164" fontId="8" fillId="0" borderId="0" xfId="2" applyNumberFormat="1" applyFont="1" applyFill="1" applyBorder="1" applyAlignment="1">
      <alignment horizontal="left"/>
    </xf>
    <xf numFmtId="164" fontId="3" fillId="0" borderId="0" xfId="2" applyNumberFormat="1" applyFont="1" applyBorder="1"/>
    <xf numFmtId="164" fontId="20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64" fontId="3" fillId="0" borderId="2" xfId="2" applyNumberFormat="1" applyFont="1" applyBorder="1"/>
    <xf numFmtId="9" fontId="20" fillId="0" borderId="0" xfId="3" applyFont="1" applyFill="1" applyBorder="1"/>
    <xf numFmtId="166" fontId="18" fillId="0" borderId="0" xfId="2" applyNumberFormat="1" applyFont="1" applyFill="1" applyBorder="1"/>
    <xf numFmtId="167" fontId="25" fillId="0" borderId="0" xfId="1" applyNumberFormat="1" applyFont="1" applyFill="1" applyBorder="1"/>
    <xf numFmtId="164" fontId="25" fillId="0" borderId="0" xfId="2" applyNumberFormat="1" applyFont="1"/>
    <xf numFmtId="164" fontId="12" fillId="0" borderId="7" xfId="2" applyNumberFormat="1" applyFont="1" applyBorder="1" applyAlignment="1">
      <alignment horizontal="right"/>
    </xf>
    <xf numFmtId="164" fontId="26" fillId="0" borderId="8" xfId="2" applyNumberFormat="1" applyFont="1" applyBorder="1" applyAlignment="1">
      <alignment horizontal="center"/>
    </xf>
    <xf numFmtId="167" fontId="15" fillId="3" borderId="8" xfId="1" applyNumberFormat="1" applyFont="1" applyFill="1" applyBorder="1"/>
    <xf numFmtId="164" fontId="12" fillId="0" borderId="9" xfId="2" applyNumberFormat="1" applyFont="1" applyBorder="1" applyAlignment="1">
      <alignment horizontal="right"/>
    </xf>
    <xf numFmtId="164" fontId="26" fillId="0" borderId="0" xfId="2" applyNumberFormat="1" applyFont="1" applyBorder="1" applyAlignment="1">
      <alignment horizontal="center"/>
    </xf>
    <xf numFmtId="167" fontId="15" fillId="3" borderId="0" xfId="1" applyNumberFormat="1" applyFont="1" applyFill="1" applyBorder="1"/>
    <xf numFmtId="167" fontId="8" fillId="0" borderId="8" xfId="1" applyNumberFormat="1" applyFont="1" applyBorder="1"/>
    <xf numFmtId="164" fontId="25" fillId="0" borderId="0" xfId="2" applyNumberFormat="1" applyFont="1" applyFill="1" applyBorder="1"/>
    <xf numFmtId="164" fontId="25" fillId="0" borderId="10" xfId="2" applyNumberFormat="1" applyFont="1" applyBorder="1" applyAlignment="1">
      <alignment horizontal="right"/>
    </xf>
    <xf numFmtId="164" fontId="26" fillId="0" borderId="11" xfId="2" applyNumberFormat="1" applyFont="1" applyBorder="1" applyAlignment="1">
      <alignment horizontal="center"/>
    </xf>
    <xf numFmtId="10" fontId="25" fillId="0" borderId="11" xfId="3" applyNumberFormat="1" applyFont="1" applyBorder="1"/>
    <xf numFmtId="164" fontId="8" fillId="0" borderId="0" xfId="2" applyNumberFormat="1" applyFont="1" applyFill="1" applyBorder="1"/>
    <xf numFmtId="43" fontId="8" fillId="0" borderId="0" xfId="1" applyFont="1"/>
    <xf numFmtId="164" fontId="8" fillId="0" borderId="0" xfId="2" applyNumberFormat="1" applyFont="1" applyAlignment="1">
      <alignment horizontal="center"/>
    </xf>
    <xf numFmtId="164" fontId="27" fillId="0" borderId="0" xfId="2" applyNumberFormat="1" applyFont="1" applyAlignment="1">
      <alignment horizontal="center"/>
    </xf>
    <xf numFmtId="10" fontId="8" fillId="0" borderId="0" xfId="3" applyNumberFormat="1" applyFont="1" applyBorder="1"/>
    <xf numFmtId="164" fontId="11" fillId="0" borderId="7" xfId="2" applyNumberFormat="1" applyFont="1" applyBorder="1" applyAlignment="1">
      <alignment horizontal="right"/>
    </xf>
    <xf numFmtId="164" fontId="27" fillId="0" borderId="8" xfId="2" applyNumberFormat="1" applyFont="1" applyBorder="1" applyAlignment="1">
      <alignment horizontal="center"/>
    </xf>
    <xf numFmtId="10" fontId="15" fillId="0" borderId="8" xfId="3" applyNumberFormat="1" applyFont="1" applyBorder="1"/>
    <xf numFmtId="0" fontId="8" fillId="0" borderId="9" xfId="0" applyFont="1" applyBorder="1"/>
    <xf numFmtId="164" fontId="11" fillId="0" borderId="9" xfId="2" applyNumberFormat="1" applyFont="1" applyBorder="1" applyAlignment="1">
      <alignment horizontal="right"/>
    </xf>
    <xf numFmtId="10" fontId="15" fillId="0" borderId="0" xfId="3" applyNumberFormat="1" applyFont="1" applyBorder="1"/>
    <xf numFmtId="167" fontId="8" fillId="0" borderId="0" xfId="1" applyNumberFormat="1" applyFont="1" applyBorder="1"/>
    <xf numFmtId="9" fontId="8" fillId="0" borderId="0" xfId="3" applyFont="1" applyFill="1" applyBorder="1"/>
    <xf numFmtId="167" fontId="28" fillId="0" borderId="0" xfId="1" applyNumberFormat="1" applyFont="1" applyBorder="1"/>
    <xf numFmtId="164" fontId="11" fillId="0" borderId="10" xfId="2" applyNumberFormat="1" applyFont="1" applyBorder="1" applyAlignment="1">
      <alignment horizontal="right"/>
    </xf>
    <xf numFmtId="167" fontId="8" fillId="0" borderId="11" xfId="1" applyNumberFormat="1" applyFont="1" applyBorder="1"/>
    <xf numFmtId="0" fontId="8" fillId="0" borderId="0" xfId="0" applyFont="1" applyAlignment="1">
      <alignment horizontal="right"/>
    </xf>
    <xf numFmtId="44" fontId="8" fillId="0" borderId="0" xfId="0" applyNumberFormat="1" applyFont="1"/>
    <xf numFmtId="44" fontId="11" fillId="0" borderId="4" xfId="0" applyNumberFormat="1" applyFont="1" applyBorder="1"/>
    <xf numFmtId="10" fontId="8" fillId="0" borderId="0" xfId="0" applyNumberFormat="1" applyFont="1"/>
    <xf numFmtId="44" fontId="5" fillId="0" borderId="0" xfId="2" applyFont="1"/>
    <xf numFmtId="4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" fontId="8" fillId="0" borderId="0" xfId="0" quotePrefix="1" applyNumberFormat="1" applyFont="1"/>
    <xf numFmtId="164" fontId="29" fillId="5" borderId="6" xfId="2" applyNumberFormat="1" applyFont="1" applyFill="1" applyBorder="1"/>
    <xf numFmtId="0" fontId="4" fillId="0" borderId="0" xfId="0" applyFont="1" applyAlignment="1">
      <alignment horizontal="center" vertical="center"/>
    </xf>
    <xf numFmtId="0" fontId="7" fillId="2" borderId="0" xfId="0" applyFont="1" applyFill="1"/>
    <xf numFmtId="0" fontId="4" fillId="0" borderId="9" xfId="0" applyFont="1" applyBorder="1" applyAlignment="1">
      <alignment horizontal="center" vertical="center"/>
    </xf>
    <xf numFmtId="164" fontId="8" fillId="0" borderId="9" xfId="2" applyNumberFormat="1" applyFont="1" applyBorder="1"/>
    <xf numFmtId="164" fontId="4" fillId="0" borderId="12" xfId="2" applyNumberFormat="1" applyFont="1" applyFill="1" applyBorder="1"/>
    <xf numFmtId="164" fontId="2" fillId="0" borderId="9" xfId="2" applyNumberFormat="1" applyFont="1" applyBorder="1"/>
    <xf numFmtId="164" fontId="16" fillId="4" borderId="12" xfId="2" applyNumberFormat="1" applyFont="1" applyFill="1" applyBorder="1"/>
    <xf numFmtId="164" fontId="4" fillId="6" borderId="12" xfId="2" applyNumberFormat="1" applyFont="1" applyFill="1" applyBorder="1"/>
    <xf numFmtId="164" fontId="4" fillId="0" borderId="9" xfId="2" applyNumberFormat="1" applyFont="1" applyBorder="1"/>
    <xf numFmtId="164" fontId="16" fillId="4" borderId="13" xfId="2" applyNumberFormat="1" applyFont="1" applyFill="1" applyBorder="1"/>
    <xf numFmtId="164" fontId="29" fillId="5" borderId="14" xfId="2" applyNumberFormat="1" applyFont="1" applyFill="1" applyBorder="1"/>
    <xf numFmtId="0" fontId="31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9" fillId="0" borderId="0" xfId="0" applyFont="1"/>
    <xf numFmtId="44" fontId="0" fillId="0" borderId="0" xfId="2" applyFont="1"/>
    <xf numFmtId="3" fontId="9" fillId="0" borderId="0" xfId="0" applyNumberFormat="1" applyFont="1"/>
    <xf numFmtId="0" fontId="0" fillId="0" borderId="11" xfId="0" applyBorder="1"/>
    <xf numFmtId="0" fontId="0" fillId="0" borderId="15" xfId="0" applyBorder="1"/>
    <xf numFmtId="0" fontId="0" fillId="0" borderId="18" xfId="0" applyBorder="1"/>
    <xf numFmtId="3" fontId="9" fillId="0" borderId="0" xfId="0" applyNumberFormat="1" applyFont="1" applyAlignment="1">
      <alignment horizontal="center"/>
    </xf>
    <xf numFmtId="3" fontId="9" fillId="0" borderId="19" xfId="0" applyNumberFormat="1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19" xfId="0" applyFont="1" applyBorder="1" applyAlignment="1">
      <alignment horizontal="center" vertical="center" wrapText="1"/>
    </xf>
    <xf numFmtId="168" fontId="9" fillId="0" borderId="0" xfId="2" applyNumberFormat="1" applyFont="1" applyFill="1" applyBorder="1"/>
    <xf numFmtId="168" fontId="9" fillId="0" borderId="19" xfId="2" applyNumberFormat="1" applyFont="1" applyFill="1" applyBorder="1"/>
    <xf numFmtId="0" fontId="0" fillId="0" borderId="20" xfId="0" applyBorder="1"/>
    <xf numFmtId="0" fontId="9" fillId="0" borderId="18" xfId="0" applyFont="1" applyBorder="1" applyAlignment="1">
      <alignment horizontal="right"/>
    </xf>
    <xf numFmtId="168" fontId="33" fillId="7" borderId="19" xfId="2" applyNumberFormat="1" applyFont="1" applyFill="1" applyBorder="1"/>
    <xf numFmtId="0" fontId="0" fillId="0" borderId="19" xfId="0" applyBorder="1"/>
    <xf numFmtId="44" fontId="0" fillId="0" borderId="0" xfId="2" applyFont="1" applyBorder="1"/>
    <xf numFmtId="44" fontId="0" fillId="0" borderId="19" xfId="0" applyNumberFormat="1" applyBorder="1"/>
    <xf numFmtId="0" fontId="9" fillId="0" borderId="21" xfId="0" applyFont="1" applyBorder="1"/>
    <xf numFmtId="0" fontId="0" fillId="0" borderId="22" xfId="0" applyBorder="1"/>
    <xf numFmtId="0" fontId="33" fillId="7" borderId="22" xfId="0" applyFont="1" applyFill="1" applyBorder="1"/>
    <xf numFmtId="168" fontId="33" fillId="7" borderId="23" xfId="2" applyNumberFormat="1" applyFont="1" applyFill="1" applyBorder="1"/>
    <xf numFmtId="0" fontId="4" fillId="0" borderId="9" xfId="0" applyFont="1" applyBorder="1" applyAlignment="1">
      <alignment horizontal="center" vertical="center" wrapText="1"/>
    </xf>
    <xf numFmtId="0" fontId="34" fillId="0" borderId="0" xfId="0" applyFont="1"/>
    <xf numFmtId="0" fontId="11" fillId="0" borderId="0" xfId="0" applyFont="1"/>
    <xf numFmtId="0" fontId="11" fillId="0" borderId="9" xfId="0" applyFont="1" applyBorder="1"/>
    <xf numFmtId="164" fontId="11" fillId="0" borderId="9" xfId="2" applyNumberFormat="1" applyFont="1" applyBorder="1"/>
    <xf numFmtId="0" fontId="35" fillId="0" borderId="0" xfId="0" applyFont="1"/>
    <xf numFmtId="0" fontId="36" fillId="2" borderId="0" xfId="0" applyFont="1" applyFill="1"/>
    <xf numFmtId="0" fontId="25" fillId="0" borderId="0" xfId="0" applyFont="1"/>
    <xf numFmtId="164" fontId="37" fillId="0" borderId="0" xfId="2" applyNumberFormat="1" applyFont="1" applyFill="1" applyBorder="1"/>
    <xf numFmtId="164" fontId="8" fillId="0" borderId="0" xfId="2" applyNumberFormat="1" applyFont="1" applyBorder="1"/>
    <xf numFmtId="164" fontId="2" fillId="0" borderId="0" xfId="2" applyNumberFormat="1" applyFont="1" applyBorder="1"/>
    <xf numFmtId="164" fontId="4" fillId="0" borderId="0" xfId="2" applyNumberFormat="1" applyFont="1" applyBorder="1"/>
    <xf numFmtId="0" fontId="38" fillId="0" borderId="0" xfId="0" applyFont="1" applyAlignment="1">
      <alignment horizontal="center" vertical="center"/>
    </xf>
    <xf numFmtId="0" fontId="39" fillId="0" borderId="0" xfId="0" applyFont="1"/>
    <xf numFmtId="169" fontId="39" fillId="0" borderId="0" xfId="2" applyNumberFormat="1" applyFont="1" applyBorder="1"/>
    <xf numFmtId="164" fontId="38" fillId="0" borderId="2" xfId="2" applyNumberFormat="1" applyFont="1" applyFill="1" applyBorder="1"/>
    <xf numFmtId="164" fontId="39" fillId="0" borderId="0" xfId="2" applyNumberFormat="1" applyFont="1" applyBorder="1"/>
    <xf numFmtId="164" fontId="40" fillId="0" borderId="2" xfId="2" applyNumberFormat="1" applyFont="1" applyFill="1" applyBorder="1"/>
    <xf numFmtId="164" fontId="38" fillId="6" borderId="2" xfId="2" applyNumberFormat="1" applyFont="1" applyFill="1" applyBorder="1"/>
    <xf numFmtId="164" fontId="38" fillId="0" borderId="0" xfId="2" applyNumberFormat="1" applyFont="1" applyBorder="1"/>
    <xf numFmtId="0" fontId="42" fillId="0" borderId="24" xfId="0" applyFont="1" applyBorder="1" applyAlignment="1">
      <alignment horizontal="center" vertical="center"/>
    </xf>
    <xf numFmtId="0" fontId="43" fillId="0" borderId="24" xfId="0" applyFont="1" applyBorder="1"/>
    <xf numFmtId="9" fontId="43" fillId="0" borderId="24" xfId="3" applyFont="1" applyBorder="1"/>
    <xf numFmtId="9" fontId="42" fillId="0" borderId="25" xfId="3" applyFont="1" applyFill="1" applyBorder="1"/>
    <xf numFmtId="9" fontId="42" fillId="4" borderId="25" xfId="3" applyFont="1" applyFill="1" applyBorder="1"/>
    <xf numFmtId="164" fontId="42" fillId="6" borderId="25" xfId="2" applyNumberFormat="1" applyFont="1" applyFill="1" applyBorder="1"/>
    <xf numFmtId="9" fontId="42" fillId="0" borderId="24" xfId="3" applyFont="1" applyBorder="1"/>
    <xf numFmtId="9" fontId="42" fillId="4" borderId="26" xfId="3" applyFont="1" applyFill="1" applyBorder="1"/>
    <xf numFmtId="9" fontId="44" fillId="5" borderId="27" xfId="3" applyFont="1" applyFill="1" applyBorder="1"/>
    <xf numFmtId="0" fontId="45" fillId="2" borderId="0" xfId="0" applyFont="1" applyFill="1"/>
    <xf numFmtId="0" fontId="12" fillId="0" borderId="24" xfId="0" applyFont="1" applyBorder="1" applyAlignment="1">
      <alignment horizontal="center" vertical="center"/>
    </xf>
    <xf numFmtId="0" fontId="25" fillId="0" borderId="24" xfId="0" applyFont="1" applyBorder="1"/>
    <xf numFmtId="0" fontId="25" fillId="0" borderId="24" xfId="3" applyNumberFormat="1" applyFont="1" applyBorder="1"/>
    <xf numFmtId="0" fontId="12" fillId="0" borderId="25" xfId="3" applyNumberFormat="1" applyFont="1" applyFill="1" applyBorder="1"/>
    <xf numFmtId="0" fontId="12" fillId="4" borderId="25" xfId="3" applyNumberFormat="1" applyFont="1" applyFill="1" applyBorder="1"/>
    <xf numFmtId="0" fontId="12" fillId="6" borderId="25" xfId="2" applyNumberFormat="1" applyFont="1" applyFill="1" applyBorder="1"/>
    <xf numFmtId="0" fontId="12" fillId="0" borderId="24" xfId="3" applyNumberFormat="1" applyFont="1" applyBorder="1"/>
    <xf numFmtId="0" fontId="12" fillId="4" borderId="26" xfId="3" applyNumberFormat="1" applyFont="1" applyFill="1" applyBorder="1"/>
    <xf numFmtId="0" fontId="46" fillId="5" borderId="27" xfId="3" applyNumberFormat="1" applyFont="1" applyFill="1" applyBorder="1"/>
    <xf numFmtId="0" fontId="46" fillId="0" borderId="0" xfId="2" applyNumberFormat="1" applyFont="1" applyFill="1" applyBorder="1"/>
    <xf numFmtId="0" fontId="25" fillId="0" borderId="25" xfId="3" applyNumberFormat="1" applyFont="1" applyFill="1" applyBorder="1"/>
    <xf numFmtId="169" fontId="16" fillId="4" borderId="12" xfId="2" applyNumberFormat="1" applyFont="1" applyFill="1" applyBorder="1"/>
    <xf numFmtId="169" fontId="16" fillId="4" borderId="2" xfId="2" applyNumberFormat="1" applyFont="1" applyFill="1" applyBorder="1"/>
    <xf numFmtId="169" fontId="38" fillId="4" borderId="2" xfId="2" applyNumberFormat="1" applyFont="1" applyFill="1" applyBorder="1"/>
    <xf numFmtId="169" fontId="42" fillId="4" borderId="25" xfId="3" applyNumberFormat="1" applyFont="1" applyFill="1" applyBorder="1"/>
    <xf numFmtId="169" fontId="38" fillId="4" borderId="4" xfId="2" applyNumberFormat="1" applyFont="1" applyFill="1" applyBorder="1"/>
    <xf numFmtId="169" fontId="42" fillId="4" borderId="26" xfId="3" applyNumberFormat="1" applyFont="1" applyFill="1" applyBorder="1"/>
    <xf numFmtId="169" fontId="41" fillId="5" borderId="6" xfId="2" applyNumberFormat="1" applyFont="1" applyFill="1" applyBorder="1"/>
    <xf numFmtId="169" fontId="44" fillId="5" borderId="27" xfId="3" applyNumberFormat="1" applyFont="1" applyFill="1" applyBorder="1"/>
    <xf numFmtId="169" fontId="20" fillId="5" borderId="14" xfId="2" applyNumberFormat="1" applyFont="1" applyFill="1" applyBorder="1"/>
    <xf numFmtId="0" fontId="11" fillId="0" borderId="0" xfId="0" applyFont="1" applyAlignment="1">
      <alignment horizontal="right" vertical="center"/>
    </xf>
    <xf numFmtId="169" fontId="11" fillId="4" borderId="13" xfId="2" applyNumberFormat="1" applyFont="1" applyFill="1" applyBorder="1"/>
    <xf numFmtId="169" fontId="11" fillId="4" borderId="4" xfId="2" applyNumberFormat="1" applyFont="1" applyFill="1" applyBorder="1"/>
    <xf numFmtId="0" fontId="47" fillId="0" borderId="0" xfId="0" applyFont="1" applyAlignment="1">
      <alignment horizontal="right" vertical="center"/>
    </xf>
    <xf numFmtId="169" fontId="47" fillId="5" borderId="14" xfId="2" applyNumberFormat="1" applyFont="1" applyFill="1" applyBorder="1"/>
    <xf numFmtId="169" fontId="47" fillId="5" borderId="6" xfId="2" applyNumberFormat="1" applyFont="1" applyFill="1" applyBorder="1"/>
    <xf numFmtId="44" fontId="11" fillId="0" borderId="0" xfId="2" applyFont="1" applyFill="1" applyBorder="1"/>
    <xf numFmtId="41" fontId="11" fillId="0" borderId="0" xfId="2" applyNumberFormat="1" applyFont="1" applyFill="1" applyBorder="1"/>
    <xf numFmtId="41" fontId="4" fillId="0" borderId="12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170" fontId="39" fillId="0" borderId="2" xfId="2" applyNumberFormat="1" applyFont="1" applyBorder="1"/>
    <xf numFmtId="9" fontId="43" fillId="0" borderId="25" xfId="3" applyFont="1" applyBorder="1"/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11" fillId="0" borderId="0" xfId="3" applyFont="1" applyFill="1" applyBorder="1"/>
    <xf numFmtId="49" fontId="48" fillId="8" borderId="28" xfId="5" applyNumberFormat="1" applyFont="1" applyFill="1" applyBorder="1" applyAlignment="1">
      <alignment horizontal="center" vertical="center" wrapText="1"/>
    </xf>
    <xf numFmtId="171" fontId="49" fillId="8" borderId="29" xfId="6" quotePrefix="1" applyNumberFormat="1" applyFont="1" applyFill="1" applyBorder="1" applyAlignment="1">
      <alignment horizontal="center" vertical="center" wrapText="1"/>
    </xf>
    <xf numFmtId="172" fontId="49" fillId="8" borderId="29" xfId="6" applyNumberFormat="1" applyFont="1" applyFill="1" applyBorder="1" applyAlignment="1">
      <alignment horizontal="center" vertical="center" wrapText="1"/>
    </xf>
    <xf numFmtId="172" fontId="49" fillId="8" borderId="30" xfId="6" applyNumberFormat="1" applyFont="1" applyFill="1" applyBorder="1" applyAlignment="1">
      <alignment horizontal="center" vertical="center" wrapText="1"/>
    </xf>
    <xf numFmtId="0" fontId="9" fillId="0" borderId="0" xfId="5" applyAlignment="1">
      <alignment vertical="center" wrapText="1"/>
    </xf>
    <xf numFmtId="172" fontId="49" fillId="8" borderId="28" xfId="6" applyNumberFormat="1" applyFont="1" applyFill="1" applyBorder="1" applyAlignment="1">
      <alignment horizontal="center" vertical="center" wrapText="1"/>
    </xf>
    <xf numFmtId="49" fontId="50" fillId="9" borderId="18" xfId="5" applyNumberFormat="1" applyFont="1" applyFill="1" applyBorder="1" applyAlignment="1">
      <alignment horizontal="left" wrapText="1"/>
    </xf>
    <xf numFmtId="172" fontId="50" fillId="9" borderId="0" xfId="7" applyNumberFormat="1" applyFont="1" applyFill="1" applyBorder="1" applyAlignment="1">
      <alignment horizontal="center" wrapText="1"/>
    </xf>
    <xf numFmtId="172" fontId="50" fillId="9" borderId="0" xfId="7" quotePrefix="1" applyNumberFormat="1" applyFont="1" applyFill="1" applyBorder="1" applyAlignment="1">
      <alignment horizontal="center" wrapText="1"/>
    </xf>
    <xf numFmtId="172" fontId="50" fillId="9" borderId="19" xfId="7" quotePrefix="1" applyNumberFormat="1" applyFont="1" applyFill="1" applyBorder="1" applyAlignment="1">
      <alignment horizontal="center" wrapText="1"/>
    </xf>
    <xf numFmtId="0" fontId="9" fillId="0" borderId="0" xfId="5" applyAlignment="1">
      <alignment wrapText="1"/>
    </xf>
    <xf numFmtId="172" fontId="50" fillId="9" borderId="18" xfId="7" applyNumberFormat="1" applyFont="1" applyFill="1" applyBorder="1" applyAlignment="1">
      <alignment horizontal="center" wrapText="1"/>
    </xf>
    <xf numFmtId="49" fontId="51" fillId="10" borderId="18" xfId="5" applyNumberFormat="1" applyFont="1" applyFill="1" applyBorder="1" applyAlignment="1">
      <alignment horizontal="left" vertical="top"/>
    </xf>
    <xf numFmtId="172" fontId="52" fillId="10" borderId="0" xfId="6" applyNumberFormat="1" applyFont="1" applyFill="1" applyBorder="1" applyAlignment="1">
      <alignment horizontal="right" vertical="top" wrapText="1"/>
    </xf>
    <xf numFmtId="172" fontId="51" fillId="10" borderId="0" xfId="6" applyNumberFormat="1" applyFont="1" applyFill="1" applyBorder="1" applyAlignment="1">
      <alignment horizontal="right" vertical="top" wrapText="1"/>
    </xf>
    <xf numFmtId="172" fontId="51" fillId="10" borderId="19" xfId="6" applyNumberFormat="1" applyFont="1" applyFill="1" applyBorder="1" applyAlignment="1">
      <alignment horizontal="right" vertical="top" wrapText="1"/>
    </xf>
    <xf numFmtId="0" fontId="9" fillId="0" borderId="0" xfId="5"/>
    <xf numFmtId="172" fontId="51" fillId="10" borderId="18" xfId="6" applyNumberFormat="1" applyFont="1" applyFill="1" applyBorder="1" applyAlignment="1">
      <alignment horizontal="right" vertical="top" wrapText="1"/>
    </xf>
    <xf numFmtId="49" fontId="51" fillId="9" borderId="18" xfId="5" applyNumberFormat="1" applyFont="1" applyFill="1" applyBorder="1" applyAlignment="1">
      <alignment horizontal="left" vertical="top" indent="1"/>
    </xf>
    <xf numFmtId="172" fontId="52" fillId="9" borderId="2" xfId="6" applyNumberFormat="1" applyFont="1" applyFill="1" applyBorder="1" applyAlignment="1">
      <alignment horizontal="right" vertical="top" wrapText="1"/>
    </xf>
    <xf numFmtId="172" fontId="51" fillId="9" borderId="0" xfId="6" applyNumberFormat="1" applyFont="1" applyFill="1" applyBorder="1" applyAlignment="1">
      <alignment horizontal="right" vertical="top" wrapText="1"/>
    </xf>
    <xf numFmtId="172" fontId="51" fillId="9" borderId="19" xfId="6" applyNumberFormat="1" applyFont="1" applyFill="1" applyBorder="1" applyAlignment="1">
      <alignment horizontal="right" vertical="top" wrapText="1"/>
    </xf>
    <xf numFmtId="172" fontId="52" fillId="9" borderId="31" xfId="6" applyNumberFormat="1" applyFont="1" applyFill="1" applyBorder="1" applyAlignment="1">
      <alignment horizontal="right" vertical="top" wrapText="1"/>
    </xf>
    <xf numFmtId="172" fontId="52" fillId="9" borderId="4" xfId="6" applyNumberFormat="1" applyFont="1" applyFill="1" applyBorder="1" applyAlignment="1">
      <alignment horizontal="right" vertical="top" wrapText="1"/>
    </xf>
    <xf numFmtId="172" fontId="52" fillId="9" borderId="32" xfId="6" applyNumberFormat="1" applyFont="1" applyFill="1" applyBorder="1" applyAlignment="1">
      <alignment horizontal="right" vertical="top" wrapText="1"/>
    </xf>
    <xf numFmtId="49" fontId="52" fillId="11" borderId="21" xfId="5" applyNumberFormat="1" applyFont="1" applyFill="1" applyBorder="1" applyAlignment="1">
      <alignment horizontal="left" vertical="top"/>
    </xf>
    <xf numFmtId="172" fontId="52" fillId="11" borderId="22" xfId="6" applyNumberFormat="1" applyFont="1" applyFill="1" applyBorder="1" applyAlignment="1">
      <alignment horizontal="right" vertical="top" wrapText="1"/>
    </xf>
    <xf numFmtId="172" fontId="52" fillId="11" borderId="23" xfId="6" applyNumberFormat="1" applyFont="1" applyFill="1" applyBorder="1" applyAlignment="1">
      <alignment horizontal="right" vertical="top" wrapText="1"/>
    </xf>
    <xf numFmtId="172" fontId="52" fillId="11" borderId="21" xfId="6" applyNumberFormat="1" applyFont="1" applyFill="1" applyBorder="1" applyAlignment="1">
      <alignment horizontal="right" vertical="top" wrapText="1"/>
    </xf>
    <xf numFmtId="172" fontId="53" fillId="11" borderId="22" xfId="6" applyNumberFormat="1" applyFont="1" applyFill="1" applyBorder="1" applyAlignment="1">
      <alignment horizontal="right" vertical="top" wrapText="1"/>
    </xf>
    <xf numFmtId="0" fontId="54" fillId="0" borderId="0" xfId="0" applyFont="1"/>
    <xf numFmtId="1" fontId="55" fillId="0" borderId="0" xfId="0" applyNumberFormat="1" applyFont="1"/>
    <xf numFmtId="0" fontId="1" fillId="0" borderId="0" xfId="8"/>
    <xf numFmtId="0" fontId="56" fillId="0" borderId="0" xfId="8" applyFont="1"/>
    <xf numFmtId="3" fontId="56" fillId="0" borderId="0" xfId="8" applyNumberFormat="1" applyFont="1"/>
    <xf numFmtId="0" fontId="57" fillId="0" borderId="0" xfId="8" applyFont="1"/>
    <xf numFmtId="3" fontId="57" fillId="0" borderId="0" xfId="9" applyNumberFormat="1" applyFont="1"/>
    <xf numFmtId="9" fontId="1" fillId="0" borderId="0" xfId="3" applyFont="1"/>
    <xf numFmtId="173" fontId="11" fillId="0" borderId="0" xfId="2" applyNumberFormat="1" applyFont="1" applyFill="1" applyBorder="1"/>
    <xf numFmtId="0" fontId="56" fillId="8" borderId="0" xfId="0" applyFont="1" applyFill="1" applyAlignment="1">
      <alignment horizontal="center" vertical="center" wrapText="1"/>
    </xf>
    <xf numFmtId="0" fontId="58" fillId="12" borderId="33" xfId="0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58" fillId="12" borderId="0" xfId="0" applyFont="1" applyFill="1" applyAlignment="1">
      <alignment vertical="center" wrapText="1"/>
    </xf>
    <xf numFmtId="0" fontId="59" fillId="12" borderId="0" xfId="0" applyFont="1" applyFill="1" applyAlignment="1">
      <alignment vertical="center" wrapText="1"/>
    </xf>
    <xf numFmtId="0" fontId="58" fillId="12" borderId="34" xfId="0" applyFont="1" applyFill="1" applyBorder="1" applyAlignment="1">
      <alignment vertical="center" wrapText="1"/>
    </xf>
    <xf numFmtId="0" fontId="59" fillId="12" borderId="34" xfId="0" applyFont="1" applyFill="1" applyBorder="1" applyAlignment="1">
      <alignment vertical="center" wrapText="1"/>
    </xf>
    <xf numFmtId="172" fontId="51" fillId="10" borderId="15" xfId="6" applyNumberFormat="1" applyFont="1" applyFill="1" applyBorder="1" applyAlignment="1">
      <alignment horizontal="right" vertical="top" wrapText="1"/>
    </xf>
    <xf numFmtId="0" fontId="54" fillId="0" borderId="0" xfId="0" applyFont="1" applyAlignment="1">
      <alignment horizontal="right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5" fillId="0" borderId="25" xfId="3" applyNumberFormat="1" applyFont="1" applyFill="1" applyBorder="1" applyAlignment="1">
      <alignment wrapText="1"/>
    </xf>
    <xf numFmtId="0" fontId="8" fillId="13" borderId="0" xfId="0" applyFont="1" applyFill="1" applyAlignment="1">
      <alignment horizontal="left" indent="1"/>
    </xf>
    <xf numFmtId="0" fontId="8" fillId="13" borderId="0" xfId="0" quotePrefix="1" applyFont="1" applyFill="1"/>
    <xf numFmtId="164" fontId="8" fillId="13" borderId="0" xfId="2" applyNumberFormat="1" applyFont="1" applyFill="1"/>
    <xf numFmtId="164" fontId="13" fillId="13" borderId="1" xfId="4" applyNumberFormat="1" applyFont="1" applyFill="1" applyBorder="1"/>
    <xf numFmtId="164" fontId="4" fillId="13" borderId="2" xfId="2" applyNumberFormat="1" applyFont="1" applyFill="1" applyBorder="1"/>
    <xf numFmtId="164" fontId="13" fillId="13" borderId="3" xfId="4" applyNumberFormat="1" applyFont="1" applyFill="1" applyBorder="1"/>
    <xf numFmtId="0" fontId="4" fillId="13" borderId="0" xfId="0" applyFont="1" applyFill="1"/>
    <xf numFmtId="164" fontId="8" fillId="0" borderId="9" xfId="2" applyNumberFormat="1" applyFont="1" applyFill="1" applyBorder="1"/>
    <xf numFmtId="164" fontId="8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164" fontId="20" fillId="0" borderId="0" xfId="0" applyNumberFormat="1" applyFont="1" applyAlignment="1">
      <alignment horizontal="right"/>
    </xf>
    <xf numFmtId="44" fontId="20" fillId="5" borderId="0" xfId="2" applyFont="1" applyFill="1" applyBorder="1"/>
  </cellXfs>
  <cellStyles count="10">
    <cellStyle name="Comma" xfId="1" builtinId="3"/>
    <cellStyle name="Comma 3" xfId="9" xr:uid="{805E6BC6-BEE4-4B25-BD9D-5CF44D9D8AEB}"/>
    <cellStyle name="Comma 5" xfId="6" xr:uid="{1859F55F-DE6B-4620-B667-4FA65FCB65AA}"/>
    <cellStyle name="Comma 5 2" xfId="7" xr:uid="{B1F51196-0A9A-4F76-BF71-78E5F916FFB2}"/>
    <cellStyle name="Currency" xfId="2" builtinId="4"/>
    <cellStyle name="Currency 6" xfId="4" xr:uid="{3A3B90A8-8AC2-4DE4-92B2-47119DF55280}"/>
    <cellStyle name="Normal" xfId="0" builtinId="0"/>
    <cellStyle name="Normal 2 2" xfId="5" xr:uid="{5D0DC00D-8449-401C-9D21-2FC989A00EB6}"/>
    <cellStyle name="Normal 8" xfId="8" xr:uid="{598A014F-245B-4972-8815-71084AF4F241}"/>
    <cellStyle name="Percent" xfId="3" builtinId="5"/>
  </cellStyles>
  <dxfs count="13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4CD291-CE5A-4DB2-8EB6-F175F9285D84}" name="Table1" displayName="Table1" ref="O27:R33" totalsRowShown="0" headerRowDxfId="12" dataDxfId="11" dataCellStyle="Normal 8">
  <autoFilter ref="O27:R33" xr:uid="{0F4CD291-CE5A-4DB2-8EB6-F175F9285D84}">
    <filterColumn colId="0" hiddenButton="1"/>
    <filterColumn colId="1" hiddenButton="1"/>
    <filterColumn colId="2" hiddenButton="1"/>
    <filterColumn colId="3" hiddenButton="1"/>
  </autoFilter>
  <tableColumns count="4">
    <tableColumn id="1" xr3:uid="{737A8D13-F558-4D98-9C23-53863A7C8912}" name="Output Type" dataDxfId="10" dataCellStyle="Normal 8"/>
    <tableColumn id="2" xr3:uid="{CE122E91-F03F-4AA4-BC6A-AAA6242A29DD}" name="Total" dataDxfId="9" dataCellStyle="Normal 8"/>
    <tableColumn id="3" xr3:uid="{FAEC6AF3-2E9B-43F3-9F3D-5A68AA191852}" name="July" dataDxfId="8" dataCellStyle="Normal 8"/>
    <tableColumn id="4" xr3:uid="{61D6B474-87DA-45DC-B17A-5044CE5948F1}" name="August" dataDxfId="7" dataCellStyle="Normal 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1B7B-8AA1-4C78-9FF5-82C3488DF621}">
  <sheetPr>
    <tabColor theme="0"/>
  </sheetPr>
  <dimension ref="A1:I23"/>
  <sheetViews>
    <sheetView showGridLines="0" workbookViewId="0">
      <selection activeCell="C11" sqref="C11"/>
    </sheetView>
  </sheetViews>
  <sheetFormatPr defaultRowHeight="12.75" x14ac:dyDescent="0.2"/>
  <cols>
    <col min="1" max="1" width="12.85546875" customWidth="1"/>
    <col min="2" max="4" width="15.7109375" customWidth="1"/>
    <col min="5" max="5" width="2.7109375" customWidth="1"/>
    <col min="6" max="6" width="12.85546875" customWidth="1"/>
    <col min="7" max="9" width="15.7109375" customWidth="1"/>
  </cols>
  <sheetData>
    <row r="1" spans="1:9" ht="20.25" x14ac:dyDescent="0.2">
      <c r="A1" s="104" t="s">
        <v>162</v>
      </c>
    </row>
    <row r="2" spans="1:9" ht="19.5" x14ac:dyDescent="0.2">
      <c r="A2" s="105" t="s">
        <v>163</v>
      </c>
    </row>
    <row r="3" spans="1:9" ht="19.5" x14ac:dyDescent="0.2">
      <c r="A3" s="105" t="s">
        <v>164</v>
      </c>
    </row>
    <row r="6" spans="1:9" x14ac:dyDescent="0.2">
      <c r="A6" t="s">
        <v>127</v>
      </c>
      <c r="B6" s="108">
        <f>4143*2</f>
        <v>8286</v>
      </c>
    </row>
    <row r="7" spans="1:9" ht="13.5" thickBot="1" x14ac:dyDescent="0.25">
      <c r="B7" s="108"/>
    </row>
    <row r="8" spans="1:9" x14ac:dyDescent="0.2">
      <c r="A8" s="110"/>
      <c r="B8" s="246" t="s">
        <v>170</v>
      </c>
      <c r="C8" s="246"/>
      <c r="D8" s="247"/>
      <c r="F8" s="110"/>
      <c r="G8" s="246" t="s">
        <v>171</v>
      </c>
      <c r="H8" s="246"/>
      <c r="I8" s="247"/>
    </row>
    <row r="9" spans="1:9" ht="6" customHeight="1" x14ac:dyDescent="0.2">
      <c r="A9" s="111"/>
      <c r="B9" s="112"/>
      <c r="C9" s="112"/>
      <c r="D9" s="113"/>
      <c r="F9" s="111"/>
      <c r="G9" s="112"/>
      <c r="H9" s="112"/>
      <c r="I9" s="113"/>
    </row>
    <row r="10" spans="1:9" ht="25.5" x14ac:dyDescent="0.2">
      <c r="A10" s="111"/>
      <c r="B10" s="114" t="s">
        <v>157</v>
      </c>
      <c r="C10" s="115" t="s">
        <v>40</v>
      </c>
      <c r="D10" s="116" t="s">
        <v>167</v>
      </c>
      <c r="F10" s="111"/>
      <c r="G10" s="114" t="s">
        <v>157</v>
      </c>
      <c r="H10" s="115" t="s">
        <v>40</v>
      </c>
      <c r="I10" s="116" t="s">
        <v>167</v>
      </c>
    </row>
    <row r="11" spans="1:9" x14ac:dyDescent="0.2">
      <c r="A11" s="111"/>
      <c r="B11" s="117">
        <f>-41700*2</f>
        <v>-83400</v>
      </c>
      <c r="C11" s="117">
        <f>-27430*2</f>
        <v>-54860</v>
      </c>
      <c r="D11" s="118">
        <f>SUM(B11:C11)</f>
        <v>-138260</v>
      </c>
      <c r="F11" s="111"/>
      <c r="G11" s="117">
        <f>-40000*2</f>
        <v>-80000</v>
      </c>
      <c r="H11" s="117">
        <f>-26000*2</f>
        <v>-52000</v>
      </c>
      <c r="I11" s="118">
        <f>SUM(G11:H11)</f>
        <v>-132000</v>
      </c>
    </row>
    <row r="12" spans="1:9" ht="4.5" customHeight="1" x14ac:dyDescent="0.2">
      <c r="A12" s="111"/>
      <c r="B12" s="109"/>
      <c r="C12" s="109"/>
      <c r="D12" s="119"/>
      <c r="F12" s="111"/>
      <c r="G12" s="109"/>
      <c r="H12" s="109"/>
      <c r="I12" s="119"/>
    </row>
    <row r="13" spans="1:9" x14ac:dyDescent="0.2">
      <c r="A13" s="120" t="s">
        <v>165</v>
      </c>
      <c r="B13" s="117">
        <f>B11/$B$6</f>
        <v>-10.065170166545981</v>
      </c>
      <c r="C13" s="117">
        <f>C11/$B$6</f>
        <v>-6.6208061790972721</v>
      </c>
      <c r="D13" s="121">
        <f>SUM(B13:C13)</f>
        <v>-16.685976345643255</v>
      </c>
      <c r="F13" s="120" t="s">
        <v>165</v>
      </c>
      <c r="G13" s="117">
        <f>G11/$B$6</f>
        <v>-9.6548394882935078</v>
      </c>
      <c r="H13" s="117">
        <f>H11/$B$6</f>
        <v>-6.2756456673907799</v>
      </c>
      <c r="I13" s="121">
        <f>SUM(G13:H13)</f>
        <v>-15.930485155684288</v>
      </c>
    </row>
    <row r="14" spans="1:9" x14ac:dyDescent="0.2">
      <c r="A14" s="111"/>
      <c r="D14" s="122"/>
      <c r="F14" s="111"/>
      <c r="I14" s="122"/>
    </row>
    <row r="15" spans="1:9" ht="25.5" x14ac:dyDescent="0.2">
      <c r="A15" s="111"/>
      <c r="B15" s="114" t="s">
        <v>166</v>
      </c>
      <c r="C15" s="114" t="s">
        <v>156</v>
      </c>
      <c r="D15" s="116" t="s">
        <v>167</v>
      </c>
      <c r="F15" s="111"/>
      <c r="G15" s="114" t="s">
        <v>166</v>
      </c>
      <c r="H15" s="114" t="s">
        <v>156</v>
      </c>
      <c r="I15" s="116" t="s">
        <v>167</v>
      </c>
    </row>
    <row r="16" spans="1:9" x14ac:dyDescent="0.2">
      <c r="A16" s="111"/>
      <c r="B16" s="123">
        <f>B6*10</f>
        <v>82860</v>
      </c>
      <c r="C16" s="123">
        <f>21965.89*2</f>
        <v>43931.78</v>
      </c>
      <c r="D16" s="124">
        <f>SUM(B16:C16)</f>
        <v>126791.78</v>
      </c>
      <c r="F16" s="111"/>
      <c r="G16" s="123">
        <f>B6*11</f>
        <v>91146</v>
      </c>
      <c r="H16" s="123">
        <f>21965.89*2</f>
        <v>43931.78</v>
      </c>
      <c r="I16" s="124">
        <f>SUM(G16:H16)</f>
        <v>135077.78</v>
      </c>
    </row>
    <row r="17" spans="1:9" ht="4.5" customHeight="1" x14ac:dyDescent="0.2">
      <c r="A17" s="111"/>
      <c r="B17" s="109"/>
      <c r="C17" s="109"/>
      <c r="D17" s="119"/>
      <c r="F17" s="111"/>
      <c r="G17" s="109"/>
      <c r="H17" s="109"/>
      <c r="I17" s="119"/>
    </row>
    <row r="18" spans="1:9" x14ac:dyDescent="0.2">
      <c r="A18" s="120" t="s">
        <v>165</v>
      </c>
      <c r="B18" s="117">
        <f>B16/$B$6</f>
        <v>10</v>
      </c>
      <c r="C18" s="117">
        <f>C16/$B$6</f>
        <v>5.3019285541877865</v>
      </c>
      <c r="D18" s="121">
        <f>SUM(B18:C18)</f>
        <v>15.301928554187786</v>
      </c>
      <c r="F18" s="120" t="s">
        <v>165</v>
      </c>
      <c r="G18" s="117">
        <f>G16/$B$6</f>
        <v>11</v>
      </c>
      <c r="H18" s="117">
        <f>H16/$B$6</f>
        <v>5.3019285541877865</v>
      </c>
      <c r="I18" s="121">
        <f>SUM(G18:H18)</f>
        <v>16.301928554187786</v>
      </c>
    </row>
    <row r="19" spans="1:9" x14ac:dyDescent="0.2">
      <c r="A19" s="111"/>
      <c r="D19" s="122"/>
      <c r="F19" s="111"/>
      <c r="I19" s="122"/>
    </row>
    <row r="20" spans="1:9" ht="13.5" thickBot="1" x14ac:dyDescent="0.25">
      <c r="A20" s="125"/>
      <c r="B20" s="126"/>
      <c r="C20" s="127" t="s">
        <v>168</v>
      </c>
      <c r="D20" s="128">
        <f>SUM(D18,D13)</f>
        <v>-1.384047791455469</v>
      </c>
      <c r="F20" s="125"/>
      <c r="G20" s="126"/>
      <c r="H20" s="127" t="s">
        <v>169</v>
      </c>
      <c r="I20" s="128">
        <f>SUM(I18,I13)</f>
        <v>0.37144339850349795</v>
      </c>
    </row>
    <row r="21" spans="1:9" x14ac:dyDescent="0.2">
      <c r="A21" s="106"/>
      <c r="B21" s="107"/>
    </row>
    <row r="23" spans="1:9" ht="6" customHeight="1" x14ac:dyDescent="0.2"/>
  </sheetData>
  <mergeCells count="2">
    <mergeCell ref="B8:D8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EF3D-080F-4B4F-884F-068EB4C52D50}">
  <sheetPr>
    <tabColor rgb="FF92D050"/>
    <pageSetUpPr fitToPage="1"/>
  </sheetPr>
  <dimension ref="A1:V128"/>
  <sheetViews>
    <sheetView showGridLines="0" zoomScaleNormal="100" workbookViewId="0">
      <pane ySplit="5" topLeftCell="A6" activePane="bottomLeft" state="frozen"/>
      <selection activeCell="A48" activeCellId="1" sqref="A44:XFD45 A48:XFD48"/>
      <selection pane="bottomLeft" activeCell="D75" sqref="D75:E75"/>
    </sheetView>
  </sheetViews>
  <sheetFormatPr defaultColWidth="9.140625" defaultRowHeight="12.75" x14ac:dyDescent="0.2"/>
  <cols>
    <col min="1" max="1" width="34.7109375" style="1" customWidth="1"/>
    <col min="2" max="2" width="8.42578125" style="1" hidden="1" customWidth="1"/>
    <col min="3" max="16" width="12.7109375" style="1" customWidth="1"/>
    <col min="17" max="17" width="16" style="1" customWidth="1"/>
    <col min="18" max="18" width="6" style="1" hidden="1" customWidth="1"/>
    <col min="19" max="20" width="12.85546875" style="1" customWidth="1"/>
    <col min="21" max="21" width="12.7109375" style="1" customWidth="1"/>
    <col min="22" max="22" width="10.140625" style="1" bestFit="1" customWidth="1"/>
    <col min="23" max="16384" width="9.140625" style="1"/>
  </cols>
  <sheetData>
    <row r="1" spans="1:20" ht="12.75" hidden="1" customHeight="1" x14ac:dyDescent="0.2">
      <c r="A1" s="1" t="str">
        <f ca="1">CELL("filename",A1)</f>
        <v>https://qmow.sharepoint.com/sites/Operations/Webinars/2024/Budgeting/Part 3/[MOW Budget Example Part 3.xlsx]QCF Budget</v>
      </c>
    </row>
    <row r="2" spans="1:20" hidden="1" x14ac:dyDescent="0.2">
      <c r="A2" s="2" t="str">
        <f ca="1">RIGHT(A1,LEN(A1)-SEARCH("]",A1))</f>
        <v>QCF Budget</v>
      </c>
    </row>
    <row r="3" spans="1:20" ht="26.25" x14ac:dyDescent="0.4">
      <c r="A3" s="3" t="s">
        <v>0</v>
      </c>
      <c r="B3" s="3"/>
      <c r="C3" s="3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"/>
      <c r="Q3" s="4"/>
      <c r="R3" s="4"/>
      <c r="S3" s="4"/>
    </row>
    <row r="4" spans="1:20" s="5" customFormat="1" ht="36" hidden="1" customHeight="1" x14ac:dyDescent="0.25">
      <c r="D4" s="5">
        <v>2</v>
      </c>
      <c r="E4" s="5">
        <v>2.5</v>
      </c>
      <c r="F4" s="5">
        <v>2</v>
      </c>
      <c r="G4" s="5">
        <v>2</v>
      </c>
      <c r="H4" s="5">
        <v>2.5</v>
      </c>
      <c r="I4" s="5">
        <v>2</v>
      </c>
      <c r="J4" s="5">
        <v>2</v>
      </c>
      <c r="K4" s="5">
        <v>2</v>
      </c>
      <c r="L4" s="5">
        <v>2.5</v>
      </c>
      <c r="M4" s="5">
        <v>2</v>
      </c>
      <c r="N4" s="5">
        <v>2.5</v>
      </c>
      <c r="O4" s="5">
        <v>2</v>
      </c>
      <c r="Q4" s="5">
        <v>2</v>
      </c>
      <c r="R4" s="5">
        <f>SUM(D4:O4)</f>
        <v>26</v>
      </c>
      <c r="S4" s="6" t="s">
        <v>2</v>
      </c>
      <c r="T4" s="248"/>
    </row>
    <row r="5" spans="1:20" s="5" customFormat="1" ht="45" x14ac:dyDescent="0.25">
      <c r="A5" s="7"/>
      <c r="B5" s="7"/>
      <c r="C5" s="8" t="s">
        <v>3</v>
      </c>
      <c r="D5" s="95" t="s">
        <v>4</v>
      </c>
      <c r="E5" s="9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  <c r="K5" s="93" t="s">
        <v>11</v>
      </c>
      <c r="L5" s="93" t="s">
        <v>12</v>
      </c>
      <c r="M5" s="93" t="s">
        <v>13</v>
      </c>
      <c r="N5" s="93" t="s">
        <v>14</v>
      </c>
      <c r="O5" s="93" t="s">
        <v>15</v>
      </c>
      <c r="P5" s="93"/>
      <c r="Q5" s="9" t="s">
        <v>16</v>
      </c>
      <c r="R5" s="5" t="s">
        <v>17</v>
      </c>
      <c r="S5" s="10" t="s">
        <v>18</v>
      </c>
      <c r="T5" s="248"/>
    </row>
    <row r="6" spans="1:20" s="5" customFormat="1" ht="15" x14ac:dyDescent="0.25">
      <c r="D6" s="75"/>
      <c r="S6" s="11"/>
    </row>
    <row r="7" spans="1:20" s="5" customFormat="1" ht="15" x14ac:dyDescent="0.25">
      <c r="A7" s="12" t="s">
        <v>19</v>
      </c>
      <c r="D7" s="75"/>
      <c r="S7" s="11"/>
    </row>
    <row r="8" spans="1:20" s="5" customFormat="1" ht="15" x14ac:dyDescent="0.25">
      <c r="A8" s="13" t="s">
        <v>20</v>
      </c>
      <c r="B8" s="14" t="s">
        <v>21</v>
      </c>
      <c r="C8" s="15">
        <v>126500</v>
      </c>
      <c r="D8" s="96">
        <f>$C8/12</f>
        <v>10541.666666666666</v>
      </c>
      <c r="E8" s="15">
        <f t="shared" ref="E8:O8" si="0">$C8/12</f>
        <v>10541.666666666666</v>
      </c>
      <c r="F8" s="15">
        <f t="shared" si="0"/>
        <v>10541.666666666666</v>
      </c>
      <c r="G8" s="15">
        <f t="shared" si="0"/>
        <v>10541.666666666666</v>
      </c>
      <c r="H8" s="15">
        <f t="shared" si="0"/>
        <v>10541.666666666666</v>
      </c>
      <c r="I8" s="15">
        <f t="shared" si="0"/>
        <v>10541.666666666666</v>
      </c>
      <c r="J8" s="15">
        <f t="shared" si="0"/>
        <v>10541.666666666666</v>
      </c>
      <c r="K8" s="15">
        <f t="shared" si="0"/>
        <v>10541.666666666666</v>
      </c>
      <c r="L8" s="15">
        <f t="shared" si="0"/>
        <v>10541.666666666666</v>
      </c>
      <c r="M8" s="15">
        <f t="shared" si="0"/>
        <v>10541.666666666666</v>
      </c>
      <c r="N8" s="15">
        <f t="shared" si="0"/>
        <v>10541.666666666666</v>
      </c>
      <c r="O8" s="15">
        <f t="shared" si="0"/>
        <v>10541.666666666666</v>
      </c>
      <c r="P8" s="15"/>
      <c r="Q8" s="15">
        <f>SUM(D8:O8)</f>
        <v>126500.00000000001</v>
      </c>
      <c r="R8" s="16">
        <f>Q8-SUM(D8:O8)</f>
        <v>0</v>
      </c>
      <c r="S8" s="17">
        <f>Q8-C8</f>
        <v>0</v>
      </c>
      <c r="T8" s="18"/>
    </row>
    <row r="9" spans="1:20" s="5" customFormat="1" ht="15" x14ac:dyDescent="0.25">
      <c r="A9" s="13" t="s">
        <v>22</v>
      </c>
      <c r="B9" s="14" t="s">
        <v>23</v>
      </c>
      <c r="C9" s="15">
        <v>11000</v>
      </c>
      <c r="D9" s="96">
        <f t="shared" ref="D9:O13" si="1">$C9/12</f>
        <v>916.66666666666663</v>
      </c>
      <c r="E9" s="15">
        <f t="shared" si="1"/>
        <v>916.66666666666663</v>
      </c>
      <c r="F9" s="15">
        <f t="shared" si="1"/>
        <v>916.66666666666663</v>
      </c>
      <c r="G9" s="15">
        <f t="shared" si="1"/>
        <v>916.66666666666663</v>
      </c>
      <c r="H9" s="15">
        <f t="shared" si="1"/>
        <v>916.66666666666663</v>
      </c>
      <c r="I9" s="15">
        <f t="shared" si="1"/>
        <v>916.66666666666663</v>
      </c>
      <c r="J9" s="15">
        <f t="shared" si="1"/>
        <v>916.66666666666663</v>
      </c>
      <c r="K9" s="15">
        <f t="shared" si="1"/>
        <v>916.66666666666663</v>
      </c>
      <c r="L9" s="15">
        <f t="shared" si="1"/>
        <v>916.66666666666663</v>
      </c>
      <c r="M9" s="15">
        <f t="shared" si="1"/>
        <v>916.66666666666663</v>
      </c>
      <c r="N9" s="15">
        <f t="shared" si="1"/>
        <v>916.66666666666663</v>
      </c>
      <c r="O9" s="15">
        <f t="shared" si="1"/>
        <v>916.66666666666663</v>
      </c>
      <c r="P9" s="15"/>
      <c r="Q9" s="15">
        <f t="shared" ref="Q9:Q13" si="2">SUM(D9:O9)</f>
        <v>10999.999999999998</v>
      </c>
      <c r="R9" s="16">
        <f t="shared" ref="R9:R67" si="3">Q9-SUM(D9:O9)</f>
        <v>0</v>
      </c>
      <c r="S9" s="17">
        <f t="shared" ref="S9:S13" si="4">Q9-C9</f>
        <v>0</v>
      </c>
      <c r="T9" s="18"/>
    </row>
    <row r="10" spans="1:20" s="5" customFormat="1" ht="15" x14ac:dyDescent="0.25">
      <c r="A10" s="13" t="s">
        <v>24</v>
      </c>
      <c r="B10" s="14" t="s">
        <v>25</v>
      </c>
      <c r="C10" s="15">
        <v>7000</v>
      </c>
      <c r="D10" s="96">
        <f t="shared" si="1"/>
        <v>583.33333333333337</v>
      </c>
      <c r="E10" s="15">
        <f t="shared" si="1"/>
        <v>583.33333333333337</v>
      </c>
      <c r="F10" s="15">
        <f t="shared" si="1"/>
        <v>583.33333333333337</v>
      </c>
      <c r="G10" s="15">
        <f t="shared" si="1"/>
        <v>583.33333333333337</v>
      </c>
      <c r="H10" s="15">
        <f t="shared" si="1"/>
        <v>583.33333333333337</v>
      </c>
      <c r="I10" s="15">
        <f t="shared" si="1"/>
        <v>583.33333333333337</v>
      </c>
      <c r="J10" s="15">
        <f t="shared" si="1"/>
        <v>583.33333333333337</v>
      </c>
      <c r="K10" s="15">
        <f t="shared" si="1"/>
        <v>583.33333333333337</v>
      </c>
      <c r="L10" s="15">
        <f t="shared" si="1"/>
        <v>583.33333333333337</v>
      </c>
      <c r="M10" s="15">
        <f t="shared" si="1"/>
        <v>583.33333333333337</v>
      </c>
      <c r="N10" s="15">
        <f t="shared" si="1"/>
        <v>583.33333333333337</v>
      </c>
      <c r="O10" s="15">
        <f t="shared" si="1"/>
        <v>583.33333333333337</v>
      </c>
      <c r="P10" s="15"/>
      <c r="Q10" s="15">
        <f t="shared" si="2"/>
        <v>6999.9999999999991</v>
      </c>
      <c r="R10" s="16">
        <f t="shared" si="3"/>
        <v>0</v>
      </c>
      <c r="S10" s="17">
        <f t="shared" si="4"/>
        <v>0</v>
      </c>
      <c r="T10" s="18"/>
    </row>
    <row r="11" spans="1:20" s="5" customFormat="1" ht="15" x14ac:dyDescent="0.25">
      <c r="A11" s="13" t="s">
        <v>26</v>
      </c>
      <c r="B11" s="14" t="s">
        <v>27</v>
      </c>
      <c r="C11" s="15">
        <v>3000</v>
      </c>
      <c r="D11" s="96">
        <f t="shared" si="1"/>
        <v>250</v>
      </c>
      <c r="E11" s="15">
        <f t="shared" si="1"/>
        <v>250</v>
      </c>
      <c r="F11" s="15">
        <f t="shared" si="1"/>
        <v>250</v>
      </c>
      <c r="G11" s="15">
        <f t="shared" si="1"/>
        <v>250</v>
      </c>
      <c r="H11" s="15">
        <f t="shared" si="1"/>
        <v>250</v>
      </c>
      <c r="I11" s="15">
        <f t="shared" si="1"/>
        <v>250</v>
      </c>
      <c r="J11" s="15">
        <f t="shared" si="1"/>
        <v>250</v>
      </c>
      <c r="K11" s="15">
        <f t="shared" si="1"/>
        <v>250</v>
      </c>
      <c r="L11" s="15">
        <f t="shared" si="1"/>
        <v>250</v>
      </c>
      <c r="M11" s="15">
        <f t="shared" si="1"/>
        <v>250</v>
      </c>
      <c r="N11" s="15">
        <f t="shared" si="1"/>
        <v>250</v>
      </c>
      <c r="O11" s="15">
        <f t="shared" si="1"/>
        <v>250</v>
      </c>
      <c r="P11" s="15"/>
      <c r="Q11" s="15">
        <f t="shared" si="2"/>
        <v>3000</v>
      </c>
      <c r="R11" s="16">
        <f t="shared" si="3"/>
        <v>0</v>
      </c>
      <c r="S11" s="17">
        <f t="shared" si="4"/>
        <v>0</v>
      </c>
      <c r="T11" s="18"/>
    </row>
    <row r="12" spans="1:20" s="5" customFormat="1" ht="15" x14ac:dyDescent="0.25">
      <c r="A12" s="13" t="s">
        <v>28</v>
      </c>
      <c r="B12" s="14" t="s">
        <v>29</v>
      </c>
      <c r="C12" s="15">
        <v>2000</v>
      </c>
      <c r="D12" s="96">
        <f t="shared" si="1"/>
        <v>166.66666666666666</v>
      </c>
      <c r="E12" s="15">
        <f t="shared" si="1"/>
        <v>166.66666666666666</v>
      </c>
      <c r="F12" s="15">
        <f t="shared" si="1"/>
        <v>166.66666666666666</v>
      </c>
      <c r="G12" s="15">
        <f t="shared" si="1"/>
        <v>166.66666666666666</v>
      </c>
      <c r="H12" s="15">
        <f t="shared" si="1"/>
        <v>166.66666666666666</v>
      </c>
      <c r="I12" s="15">
        <f t="shared" si="1"/>
        <v>166.66666666666666</v>
      </c>
      <c r="J12" s="15">
        <f t="shared" si="1"/>
        <v>166.66666666666666</v>
      </c>
      <c r="K12" s="15">
        <f t="shared" si="1"/>
        <v>166.66666666666666</v>
      </c>
      <c r="L12" s="15">
        <f t="shared" si="1"/>
        <v>166.66666666666666</v>
      </c>
      <c r="M12" s="15">
        <f t="shared" si="1"/>
        <v>166.66666666666666</v>
      </c>
      <c r="N12" s="15">
        <f t="shared" si="1"/>
        <v>166.66666666666666</v>
      </c>
      <c r="O12" s="15">
        <f t="shared" si="1"/>
        <v>166.66666666666666</v>
      </c>
      <c r="P12" s="15"/>
      <c r="Q12" s="15">
        <f t="shared" si="2"/>
        <v>2000.0000000000002</v>
      </c>
      <c r="R12" s="16">
        <f t="shared" si="3"/>
        <v>0</v>
      </c>
      <c r="S12" s="17">
        <f t="shared" si="4"/>
        <v>0</v>
      </c>
      <c r="T12" s="18"/>
    </row>
    <row r="13" spans="1:20" s="5" customFormat="1" ht="15" x14ac:dyDescent="0.25">
      <c r="A13" s="13" t="s">
        <v>30</v>
      </c>
      <c r="B13" s="14" t="s">
        <v>31</v>
      </c>
      <c r="C13" s="15">
        <v>0</v>
      </c>
      <c r="D13" s="96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/>
      <c r="Q13" s="15">
        <f t="shared" si="2"/>
        <v>0</v>
      </c>
      <c r="R13" s="16">
        <f t="shared" si="3"/>
        <v>0</v>
      </c>
      <c r="S13" s="17">
        <f t="shared" si="4"/>
        <v>0</v>
      </c>
      <c r="T13" s="18"/>
    </row>
    <row r="14" spans="1:20" s="5" customFormat="1" ht="15" x14ac:dyDescent="0.25">
      <c r="A14" s="89"/>
      <c r="C14" s="19">
        <f t="shared" ref="C14:O14" si="5">SUM(C8:C13)</f>
        <v>149500</v>
      </c>
      <c r="D14" s="97">
        <f t="shared" si="5"/>
        <v>12458.333333333332</v>
      </c>
      <c r="E14" s="19">
        <f t="shared" si="5"/>
        <v>12458.333333333332</v>
      </c>
      <c r="F14" s="19">
        <f t="shared" si="5"/>
        <v>12458.333333333332</v>
      </c>
      <c r="G14" s="19">
        <f t="shared" si="5"/>
        <v>12458.333333333332</v>
      </c>
      <c r="H14" s="19">
        <f t="shared" si="5"/>
        <v>12458.333333333332</v>
      </c>
      <c r="I14" s="19">
        <f t="shared" si="5"/>
        <v>12458.333333333332</v>
      </c>
      <c r="J14" s="19">
        <f t="shared" si="5"/>
        <v>12458.333333333332</v>
      </c>
      <c r="K14" s="19">
        <f t="shared" si="5"/>
        <v>12458.333333333332</v>
      </c>
      <c r="L14" s="19">
        <f t="shared" si="5"/>
        <v>12458.333333333332</v>
      </c>
      <c r="M14" s="19">
        <f t="shared" si="5"/>
        <v>12458.333333333332</v>
      </c>
      <c r="N14" s="19">
        <f t="shared" si="5"/>
        <v>12458.333333333332</v>
      </c>
      <c r="O14" s="19">
        <f t="shared" si="5"/>
        <v>12458.333333333332</v>
      </c>
      <c r="P14" s="19"/>
      <c r="Q14" s="19">
        <f t="shared" ref="Q14" si="6">SUM(Q8:Q13)</f>
        <v>149500</v>
      </c>
      <c r="R14" s="16">
        <f t="shared" si="3"/>
        <v>0</v>
      </c>
      <c r="S14" s="20">
        <f>Q14-C14</f>
        <v>0</v>
      </c>
      <c r="T14" s="21"/>
    </row>
    <row r="15" spans="1:20" s="5" customFormat="1" ht="15" x14ac:dyDescent="0.25">
      <c r="C15" s="22"/>
      <c r="D15" s="9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1"/>
    </row>
    <row r="16" spans="1:20" s="5" customFormat="1" ht="15" x14ac:dyDescent="0.25">
      <c r="A16" s="12" t="s">
        <v>32</v>
      </c>
      <c r="C16" s="22"/>
      <c r="D16" s="9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1"/>
      <c r="T16" s="23"/>
    </row>
    <row r="17" spans="1:20" s="5" customFormat="1" ht="15" x14ac:dyDescent="0.25">
      <c r="A17" s="13" t="s">
        <v>33</v>
      </c>
      <c r="B17" s="14" t="s">
        <v>34</v>
      </c>
      <c r="C17" s="15">
        <v>160000</v>
      </c>
      <c r="D17" s="96">
        <f t="shared" ref="D17:O19" si="7">$C17/12</f>
        <v>13333.333333333334</v>
      </c>
      <c r="E17" s="15">
        <f t="shared" si="7"/>
        <v>13333.333333333334</v>
      </c>
      <c r="F17" s="15">
        <f t="shared" si="7"/>
        <v>13333.333333333334</v>
      </c>
      <c r="G17" s="15">
        <f t="shared" si="7"/>
        <v>13333.333333333334</v>
      </c>
      <c r="H17" s="15">
        <f t="shared" si="7"/>
        <v>13333.333333333334</v>
      </c>
      <c r="I17" s="15">
        <f t="shared" si="7"/>
        <v>13333.333333333334</v>
      </c>
      <c r="J17" s="15">
        <f t="shared" si="7"/>
        <v>13333.333333333334</v>
      </c>
      <c r="K17" s="15">
        <f t="shared" si="7"/>
        <v>13333.333333333334</v>
      </c>
      <c r="L17" s="15">
        <f t="shared" si="7"/>
        <v>13333.333333333334</v>
      </c>
      <c r="M17" s="15">
        <f t="shared" si="7"/>
        <v>13333.333333333334</v>
      </c>
      <c r="N17" s="15">
        <f t="shared" si="7"/>
        <v>13333.333333333334</v>
      </c>
      <c r="O17" s="15">
        <f t="shared" si="7"/>
        <v>13333.333333333334</v>
      </c>
      <c r="P17" s="15"/>
      <c r="Q17" s="24">
        <f>SUM(D17:O17)</f>
        <v>160000</v>
      </c>
      <c r="R17" s="16">
        <f t="shared" si="3"/>
        <v>0</v>
      </c>
      <c r="S17" s="11">
        <f t="shared" ref="S17:S38" si="8">Q17-C17</f>
        <v>0</v>
      </c>
      <c r="T17" s="18"/>
    </row>
    <row r="18" spans="1:20" s="5" customFormat="1" ht="15" x14ac:dyDescent="0.25">
      <c r="A18" s="13" t="s">
        <v>35</v>
      </c>
      <c r="B18" s="14" t="s">
        <v>36</v>
      </c>
      <c r="C18" s="15">
        <v>5400</v>
      </c>
      <c r="D18" s="96">
        <f t="shared" si="7"/>
        <v>450</v>
      </c>
      <c r="E18" s="15">
        <f t="shared" si="7"/>
        <v>450</v>
      </c>
      <c r="F18" s="15">
        <f t="shared" si="7"/>
        <v>450</v>
      </c>
      <c r="G18" s="15">
        <f t="shared" si="7"/>
        <v>450</v>
      </c>
      <c r="H18" s="15">
        <f t="shared" si="7"/>
        <v>450</v>
      </c>
      <c r="I18" s="15">
        <f t="shared" si="7"/>
        <v>450</v>
      </c>
      <c r="J18" s="15">
        <f t="shared" si="7"/>
        <v>450</v>
      </c>
      <c r="K18" s="15">
        <f t="shared" si="7"/>
        <v>450</v>
      </c>
      <c r="L18" s="15">
        <f t="shared" si="7"/>
        <v>450</v>
      </c>
      <c r="M18" s="15">
        <f t="shared" si="7"/>
        <v>450</v>
      </c>
      <c r="N18" s="15">
        <f t="shared" si="7"/>
        <v>450</v>
      </c>
      <c r="O18" s="15">
        <f t="shared" si="7"/>
        <v>450</v>
      </c>
      <c r="P18" s="15"/>
      <c r="Q18" s="24">
        <f t="shared" ref="Q18:Q19" si="9">SUM(D18:O18)</f>
        <v>5400</v>
      </c>
      <c r="R18" s="16">
        <f t="shared" si="3"/>
        <v>0</v>
      </c>
      <c r="S18" s="11">
        <f t="shared" si="8"/>
        <v>0</v>
      </c>
      <c r="T18" s="18"/>
    </row>
    <row r="19" spans="1:20" s="5" customFormat="1" ht="15" x14ac:dyDescent="0.25">
      <c r="A19" s="13" t="s">
        <v>37</v>
      </c>
      <c r="B19" s="14" t="s">
        <v>38</v>
      </c>
      <c r="C19" s="15">
        <v>2600</v>
      </c>
      <c r="D19" s="96">
        <f t="shared" si="7"/>
        <v>216.66666666666666</v>
      </c>
      <c r="E19" s="15">
        <f t="shared" si="7"/>
        <v>216.66666666666666</v>
      </c>
      <c r="F19" s="15">
        <f t="shared" si="7"/>
        <v>216.66666666666666</v>
      </c>
      <c r="G19" s="15">
        <f t="shared" si="7"/>
        <v>216.66666666666666</v>
      </c>
      <c r="H19" s="15">
        <f t="shared" si="7"/>
        <v>216.66666666666666</v>
      </c>
      <c r="I19" s="15">
        <f t="shared" si="7"/>
        <v>216.66666666666666</v>
      </c>
      <c r="J19" s="15">
        <f t="shared" si="7"/>
        <v>216.66666666666666</v>
      </c>
      <c r="K19" s="15">
        <f t="shared" si="7"/>
        <v>216.66666666666666</v>
      </c>
      <c r="L19" s="15">
        <f t="shared" si="7"/>
        <v>216.66666666666666</v>
      </c>
      <c r="M19" s="15">
        <f t="shared" si="7"/>
        <v>216.66666666666666</v>
      </c>
      <c r="N19" s="15">
        <f t="shared" si="7"/>
        <v>216.66666666666666</v>
      </c>
      <c r="O19" s="15">
        <f t="shared" si="7"/>
        <v>216.66666666666666</v>
      </c>
      <c r="P19" s="15"/>
      <c r="Q19" s="24">
        <f t="shared" si="9"/>
        <v>2600</v>
      </c>
      <c r="R19" s="16">
        <f t="shared" si="3"/>
        <v>0</v>
      </c>
      <c r="S19" s="11">
        <f t="shared" si="8"/>
        <v>0</v>
      </c>
      <c r="T19" s="18"/>
    </row>
    <row r="20" spans="1:20" s="5" customFormat="1" ht="15" x14ac:dyDescent="0.25">
      <c r="A20" s="12"/>
      <c r="C20" s="19">
        <f t="shared" ref="C20:Q20" si="10">SUM(C17:C19)</f>
        <v>168000</v>
      </c>
      <c r="D20" s="97">
        <f t="shared" si="10"/>
        <v>14000</v>
      </c>
      <c r="E20" s="19">
        <f t="shared" si="10"/>
        <v>14000</v>
      </c>
      <c r="F20" s="19">
        <f t="shared" si="10"/>
        <v>14000</v>
      </c>
      <c r="G20" s="19">
        <f t="shared" si="10"/>
        <v>14000</v>
      </c>
      <c r="H20" s="19">
        <f t="shared" si="10"/>
        <v>14000</v>
      </c>
      <c r="I20" s="19">
        <f t="shared" si="10"/>
        <v>14000</v>
      </c>
      <c r="J20" s="19">
        <f t="shared" si="10"/>
        <v>14000</v>
      </c>
      <c r="K20" s="19">
        <f t="shared" si="10"/>
        <v>14000</v>
      </c>
      <c r="L20" s="19">
        <f t="shared" si="10"/>
        <v>14000</v>
      </c>
      <c r="M20" s="19">
        <f t="shared" si="10"/>
        <v>14000</v>
      </c>
      <c r="N20" s="19">
        <f t="shared" si="10"/>
        <v>14000</v>
      </c>
      <c r="O20" s="19">
        <f t="shared" si="10"/>
        <v>14000</v>
      </c>
      <c r="P20" s="19"/>
      <c r="Q20" s="19">
        <f t="shared" si="10"/>
        <v>168000</v>
      </c>
      <c r="R20" s="16">
        <f t="shared" si="3"/>
        <v>0</v>
      </c>
      <c r="S20" s="25">
        <f t="shared" si="8"/>
        <v>0</v>
      </c>
      <c r="T20" s="21"/>
    </row>
    <row r="21" spans="1:20" s="5" customFormat="1" ht="15" x14ac:dyDescent="0.25">
      <c r="A21" s="12"/>
      <c r="C21" s="22"/>
      <c r="D21" s="98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6"/>
      <c r="S21" s="11"/>
      <c r="T21" s="18"/>
    </row>
    <row r="22" spans="1:20" s="5" customFormat="1" ht="15" x14ac:dyDescent="0.25">
      <c r="A22" s="90" t="s">
        <v>39</v>
      </c>
      <c r="C22" s="27">
        <f>+C14-C20</f>
        <v>-18500</v>
      </c>
      <c r="D22" s="99">
        <f t="shared" ref="D22:Q22" si="11">D14-D20</f>
        <v>-1541.6666666666679</v>
      </c>
      <c r="E22" s="27">
        <f t="shared" si="11"/>
        <v>-1541.6666666666679</v>
      </c>
      <c r="F22" s="27">
        <f t="shared" si="11"/>
        <v>-1541.6666666666679</v>
      </c>
      <c r="G22" s="27">
        <f t="shared" si="11"/>
        <v>-1541.6666666666679</v>
      </c>
      <c r="H22" s="27">
        <f t="shared" si="11"/>
        <v>-1541.6666666666679</v>
      </c>
      <c r="I22" s="27">
        <f t="shared" si="11"/>
        <v>-1541.6666666666679</v>
      </c>
      <c r="J22" s="27">
        <f t="shared" si="11"/>
        <v>-1541.6666666666679</v>
      </c>
      <c r="K22" s="27">
        <f t="shared" si="11"/>
        <v>-1541.6666666666679</v>
      </c>
      <c r="L22" s="27">
        <f t="shared" si="11"/>
        <v>-1541.6666666666679</v>
      </c>
      <c r="M22" s="27">
        <f t="shared" si="11"/>
        <v>-1541.6666666666679</v>
      </c>
      <c r="N22" s="27">
        <f t="shared" si="11"/>
        <v>-1541.6666666666679</v>
      </c>
      <c r="O22" s="27">
        <f t="shared" si="11"/>
        <v>-1541.6666666666679</v>
      </c>
      <c r="P22" s="27"/>
      <c r="Q22" s="27">
        <f t="shared" si="11"/>
        <v>-18500</v>
      </c>
      <c r="R22" s="16">
        <f t="shared" si="3"/>
        <v>0</v>
      </c>
      <c r="S22" s="28">
        <f t="shared" si="8"/>
        <v>0</v>
      </c>
      <c r="T22" s="21"/>
    </row>
    <row r="23" spans="1:20" s="5" customFormat="1" ht="15" x14ac:dyDescent="0.25">
      <c r="A23" s="12"/>
      <c r="C23" s="22"/>
      <c r="D23" s="9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6"/>
      <c r="S23" s="11"/>
    </row>
    <row r="24" spans="1:20" s="5" customFormat="1" ht="15" x14ac:dyDescent="0.25">
      <c r="A24" s="12" t="s">
        <v>40</v>
      </c>
      <c r="C24" s="22"/>
      <c r="D24" s="9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6"/>
      <c r="S24" s="11"/>
      <c r="T24" s="23"/>
    </row>
    <row r="25" spans="1:20" s="5" customFormat="1" ht="15" x14ac:dyDescent="0.25">
      <c r="A25" s="13" t="s">
        <v>41</v>
      </c>
      <c r="B25" s="14" t="s">
        <v>42</v>
      </c>
      <c r="C25" s="15">
        <v>2000</v>
      </c>
      <c r="D25" s="96">
        <f t="shared" ref="D25:O37" si="12">$C25/12</f>
        <v>166.66666666666666</v>
      </c>
      <c r="E25" s="15">
        <f t="shared" si="12"/>
        <v>166.66666666666666</v>
      </c>
      <c r="F25" s="15">
        <f t="shared" si="12"/>
        <v>166.66666666666666</v>
      </c>
      <c r="G25" s="15">
        <f t="shared" si="12"/>
        <v>166.66666666666666</v>
      </c>
      <c r="H25" s="15">
        <f t="shared" si="12"/>
        <v>166.66666666666666</v>
      </c>
      <c r="I25" s="15">
        <f t="shared" si="12"/>
        <v>166.66666666666666</v>
      </c>
      <c r="J25" s="15">
        <f t="shared" si="12"/>
        <v>166.66666666666666</v>
      </c>
      <c r="K25" s="15">
        <f t="shared" si="12"/>
        <v>166.66666666666666</v>
      </c>
      <c r="L25" s="15">
        <f t="shared" si="12"/>
        <v>166.66666666666666</v>
      </c>
      <c r="M25" s="15">
        <f t="shared" si="12"/>
        <v>166.66666666666666</v>
      </c>
      <c r="N25" s="15">
        <f t="shared" si="12"/>
        <v>166.66666666666666</v>
      </c>
      <c r="O25" s="15">
        <f t="shared" si="12"/>
        <v>166.66666666666666</v>
      </c>
      <c r="P25" s="15"/>
      <c r="Q25" s="15">
        <f>SUM(D25:O25)</f>
        <v>2000.0000000000002</v>
      </c>
      <c r="R25" s="16">
        <f t="shared" si="3"/>
        <v>0</v>
      </c>
      <c r="S25" s="11">
        <f t="shared" si="8"/>
        <v>0</v>
      </c>
      <c r="T25" s="18"/>
    </row>
    <row r="26" spans="1:20" s="5" customFormat="1" ht="15" x14ac:dyDescent="0.25">
      <c r="A26" s="13" t="s">
        <v>43</v>
      </c>
      <c r="B26" s="14" t="s">
        <v>44</v>
      </c>
      <c r="C26" s="15">
        <v>1200</v>
      </c>
      <c r="D26" s="96">
        <f t="shared" si="12"/>
        <v>100</v>
      </c>
      <c r="E26" s="15">
        <f t="shared" si="12"/>
        <v>100</v>
      </c>
      <c r="F26" s="15">
        <f t="shared" si="12"/>
        <v>100</v>
      </c>
      <c r="G26" s="15">
        <f t="shared" si="12"/>
        <v>100</v>
      </c>
      <c r="H26" s="15">
        <f t="shared" si="12"/>
        <v>100</v>
      </c>
      <c r="I26" s="15">
        <f t="shared" si="12"/>
        <v>100</v>
      </c>
      <c r="J26" s="15">
        <f t="shared" si="12"/>
        <v>100</v>
      </c>
      <c r="K26" s="15">
        <f t="shared" si="12"/>
        <v>100</v>
      </c>
      <c r="L26" s="15">
        <f t="shared" si="12"/>
        <v>100</v>
      </c>
      <c r="M26" s="15">
        <f t="shared" si="12"/>
        <v>100</v>
      </c>
      <c r="N26" s="15">
        <f t="shared" si="12"/>
        <v>100</v>
      </c>
      <c r="O26" s="15">
        <f t="shared" si="12"/>
        <v>100</v>
      </c>
      <c r="P26" s="15"/>
      <c r="Q26" s="15">
        <f t="shared" ref="Q26:Q37" si="13">SUM(D26:O26)</f>
        <v>1200</v>
      </c>
      <c r="R26" s="16">
        <f t="shared" si="3"/>
        <v>0</v>
      </c>
      <c r="S26" s="11">
        <f t="shared" si="8"/>
        <v>0</v>
      </c>
      <c r="T26" s="18"/>
    </row>
    <row r="27" spans="1:20" s="5" customFormat="1" ht="15" x14ac:dyDescent="0.25">
      <c r="A27" s="13" t="s">
        <v>45</v>
      </c>
      <c r="B27" s="14" t="s">
        <v>46</v>
      </c>
      <c r="C27" s="15">
        <v>100</v>
      </c>
      <c r="D27" s="96">
        <f t="shared" si="12"/>
        <v>8.3333333333333339</v>
      </c>
      <c r="E27" s="15">
        <f t="shared" si="12"/>
        <v>8.3333333333333339</v>
      </c>
      <c r="F27" s="15">
        <f t="shared" si="12"/>
        <v>8.3333333333333339</v>
      </c>
      <c r="G27" s="15">
        <f t="shared" si="12"/>
        <v>8.3333333333333339</v>
      </c>
      <c r="H27" s="15">
        <f t="shared" si="12"/>
        <v>8.3333333333333339</v>
      </c>
      <c r="I27" s="15">
        <f t="shared" si="12"/>
        <v>8.3333333333333339</v>
      </c>
      <c r="J27" s="15">
        <f t="shared" si="12"/>
        <v>8.3333333333333339</v>
      </c>
      <c r="K27" s="15">
        <f t="shared" si="12"/>
        <v>8.3333333333333339</v>
      </c>
      <c r="L27" s="15">
        <f t="shared" si="12"/>
        <v>8.3333333333333339</v>
      </c>
      <c r="M27" s="15">
        <f t="shared" si="12"/>
        <v>8.3333333333333339</v>
      </c>
      <c r="N27" s="15">
        <f t="shared" si="12"/>
        <v>8.3333333333333339</v>
      </c>
      <c r="O27" s="15">
        <f t="shared" si="12"/>
        <v>8.3333333333333339</v>
      </c>
      <c r="P27" s="15"/>
      <c r="Q27" s="15">
        <f t="shared" si="13"/>
        <v>99.999999999999986</v>
      </c>
      <c r="R27" s="16">
        <f t="shared" si="3"/>
        <v>0</v>
      </c>
      <c r="S27" s="11">
        <f t="shared" si="8"/>
        <v>0</v>
      </c>
      <c r="T27" s="18"/>
    </row>
    <row r="28" spans="1:20" s="5" customFormat="1" ht="15" x14ac:dyDescent="0.25">
      <c r="A28" s="13" t="s">
        <v>47</v>
      </c>
      <c r="B28" s="14" t="s">
        <v>48</v>
      </c>
      <c r="C28" s="15">
        <v>1250</v>
      </c>
      <c r="D28" s="96">
        <f t="shared" si="12"/>
        <v>104.16666666666667</v>
      </c>
      <c r="E28" s="15">
        <f t="shared" si="12"/>
        <v>104.16666666666667</v>
      </c>
      <c r="F28" s="15">
        <f t="shared" si="12"/>
        <v>104.16666666666667</v>
      </c>
      <c r="G28" s="15">
        <f t="shared" si="12"/>
        <v>104.16666666666667</v>
      </c>
      <c r="H28" s="15">
        <f t="shared" si="12"/>
        <v>104.16666666666667</v>
      </c>
      <c r="I28" s="15">
        <f t="shared" si="12"/>
        <v>104.16666666666667</v>
      </c>
      <c r="J28" s="15">
        <f t="shared" si="12"/>
        <v>104.16666666666667</v>
      </c>
      <c r="K28" s="15">
        <f t="shared" si="12"/>
        <v>104.16666666666667</v>
      </c>
      <c r="L28" s="15">
        <f t="shared" si="12"/>
        <v>104.16666666666667</v>
      </c>
      <c r="M28" s="15">
        <f t="shared" si="12"/>
        <v>104.16666666666667</v>
      </c>
      <c r="N28" s="15">
        <f t="shared" si="12"/>
        <v>104.16666666666667</v>
      </c>
      <c r="O28" s="15">
        <f t="shared" si="12"/>
        <v>104.16666666666667</v>
      </c>
      <c r="P28" s="15"/>
      <c r="Q28" s="15">
        <f t="shared" si="13"/>
        <v>1250</v>
      </c>
      <c r="R28" s="16">
        <f t="shared" si="3"/>
        <v>0</v>
      </c>
      <c r="S28" s="11">
        <f t="shared" si="8"/>
        <v>0</v>
      </c>
      <c r="T28" s="18"/>
    </row>
    <row r="29" spans="1:20" s="5" customFormat="1" ht="15" x14ac:dyDescent="0.25">
      <c r="A29" s="13" t="s">
        <v>49</v>
      </c>
      <c r="B29" s="14" t="s">
        <v>50</v>
      </c>
      <c r="C29" s="15">
        <v>2420</v>
      </c>
      <c r="D29" s="96">
        <f t="shared" si="12"/>
        <v>201.66666666666666</v>
      </c>
      <c r="E29" s="15">
        <f t="shared" si="12"/>
        <v>201.66666666666666</v>
      </c>
      <c r="F29" s="15">
        <f t="shared" si="12"/>
        <v>201.66666666666666</v>
      </c>
      <c r="G29" s="15">
        <f t="shared" si="12"/>
        <v>201.66666666666666</v>
      </c>
      <c r="H29" s="15">
        <f t="shared" si="12"/>
        <v>201.66666666666666</v>
      </c>
      <c r="I29" s="15">
        <f t="shared" si="12"/>
        <v>201.66666666666666</v>
      </c>
      <c r="J29" s="15">
        <f t="shared" si="12"/>
        <v>201.66666666666666</v>
      </c>
      <c r="K29" s="15">
        <f t="shared" si="12"/>
        <v>201.66666666666666</v>
      </c>
      <c r="L29" s="15">
        <f t="shared" si="12"/>
        <v>201.66666666666666</v>
      </c>
      <c r="M29" s="15">
        <f t="shared" si="12"/>
        <v>201.66666666666666</v>
      </c>
      <c r="N29" s="15">
        <f t="shared" si="12"/>
        <v>201.66666666666666</v>
      </c>
      <c r="O29" s="15">
        <f t="shared" si="12"/>
        <v>201.66666666666666</v>
      </c>
      <c r="P29" s="15"/>
      <c r="Q29" s="15">
        <f t="shared" si="13"/>
        <v>2420</v>
      </c>
      <c r="R29" s="16">
        <f t="shared" si="3"/>
        <v>0</v>
      </c>
      <c r="S29" s="11">
        <f t="shared" si="8"/>
        <v>0</v>
      </c>
      <c r="T29" s="18"/>
    </row>
    <row r="30" spans="1:20" s="5" customFormat="1" ht="15" x14ac:dyDescent="0.25">
      <c r="A30" s="13" t="s">
        <v>51</v>
      </c>
      <c r="B30" s="14" t="s">
        <v>52</v>
      </c>
      <c r="C30" s="15">
        <v>3500</v>
      </c>
      <c r="D30" s="96">
        <f t="shared" si="12"/>
        <v>291.66666666666669</v>
      </c>
      <c r="E30" s="15">
        <f t="shared" si="12"/>
        <v>291.66666666666669</v>
      </c>
      <c r="F30" s="15">
        <f t="shared" si="12"/>
        <v>291.66666666666669</v>
      </c>
      <c r="G30" s="15">
        <f t="shared" si="12"/>
        <v>291.66666666666669</v>
      </c>
      <c r="H30" s="15">
        <f t="shared" si="12"/>
        <v>291.66666666666669</v>
      </c>
      <c r="I30" s="15">
        <f t="shared" si="12"/>
        <v>291.66666666666669</v>
      </c>
      <c r="J30" s="15">
        <f t="shared" si="12"/>
        <v>291.66666666666669</v>
      </c>
      <c r="K30" s="15">
        <f t="shared" si="12"/>
        <v>291.66666666666669</v>
      </c>
      <c r="L30" s="15">
        <f t="shared" si="12"/>
        <v>291.66666666666669</v>
      </c>
      <c r="M30" s="15">
        <f t="shared" si="12"/>
        <v>291.66666666666669</v>
      </c>
      <c r="N30" s="15">
        <f t="shared" si="12"/>
        <v>291.66666666666669</v>
      </c>
      <c r="O30" s="15">
        <f t="shared" si="12"/>
        <v>291.66666666666669</v>
      </c>
      <c r="P30" s="15"/>
      <c r="Q30" s="15">
        <f t="shared" si="13"/>
        <v>3499.9999999999995</v>
      </c>
      <c r="R30" s="16">
        <f t="shared" si="3"/>
        <v>0</v>
      </c>
      <c r="S30" s="11">
        <f t="shared" si="8"/>
        <v>0</v>
      </c>
      <c r="T30" s="18"/>
    </row>
    <row r="31" spans="1:20" s="5" customFormat="1" ht="15" x14ac:dyDescent="0.25">
      <c r="A31" s="13" t="s">
        <v>53</v>
      </c>
      <c r="B31" s="14" t="s">
        <v>54</v>
      </c>
      <c r="C31" s="15">
        <v>1320</v>
      </c>
      <c r="D31" s="96">
        <f t="shared" si="12"/>
        <v>110</v>
      </c>
      <c r="E31" s="15">
        <f t="shared" si="12"/>
        <v>110</v>
      </c>
      <c r="F31" s="15">
        <f t="shared" si="12"/>
        <v>110</v>
      </c>
      <c r="G31" s="15">
        <f t="shared" si="12"/>
        <v>110</v>
      </c>
      <c r="H31" s="15">
        <f t="shared" si="12"/>
        <v>110</v>
      </c>
      <c r="I31" s="15">
        <f t="shared" si="12"/>
        <v>110</v>
      </c>
      <c r="J31" s="15">
        <f t="shared" si="12"/>
        <v>110</v>
      </c>
      <c r="K31" s="15">
        <f t="shared" si="12"/>
        <v>110</v>
      </c>
      <c r="L31" s="15">
        <f t="shared" si="12"/>
        <v>110</v>
      </c>
      <c r="M31" s="15">
        <f t="shared" si="12"/>
        <v>110</v>
      </c>
      <c r="N31" s="15">
        <f t="shared" si="12"/>
        <v>110</v>
      </c>
      <c r="O31" s="15">
        <f t="shared" si="12"/>
        <v>110</v>
      </c>
      <c r="P31" s="15"/>
      <c r="Q31" s="15">
        <f t="shared" si="13"/>
        <v>1320</v>
      </c>
      <c r="R31" s="16">
        <f t="shared" si="3"/>
        <v>0</v>
      </c>
      <c r="S31" s="11">
        <f t="shared" si="8"/>
        <v>0</v>
      </c>
      <c r="T31" s="18"/>
    </row>
    <row r="32" spans="1:20" s="5" customFormat="1" ht="15" x14ac:dyDescent="0.25">
      <c r="A32" s="13" t="s">
        <v>55</v>
      </c>
      <c r="B32" s="14" t="s">
        <v>56</v>
      </c>
      <c r="C32" s="15">
        <v>2200</v>
      </c>
      <c r="D32" s="96">
        <f t="shared" si="12"/>
        <v>183.33333333333334</v>
      </c>
      <c r="E32" s="15">
        <f t="shared" si="12"/>
        <v>183.33333333333334</v>
      </c>
      <c r="F32" s="15">
        <f t="shared" si="12"/>
        <v>183.33333333333334</v>
      </c>
      <c r="G32" s="15">
        <f t="shared" si="12"/>
        <v>183.33333333333334</v>
      </c>
      <c r="H32" s="15">
        <f t="shared" si="12"/>
        <v>183.33333333333334</v>
      </c>
      <c r="I32" s="15">
        <f t="shared" si="12"/>
        <v>183.33333333333334</v>
      </c>
      <c r="J32" s="15">
        <f t="shared" si="12"/>
        <v>183.33333333333334</v>
      </c>
      <c r="K32" s="15">
        <f t="shared" si="12"/>
        <v>183.33333333333334</v>
      </c>
      <c r="L32" s="15">
        <f t="shared" si="12"/>
        <v>183.33333333333334</v>
      </c>
      <c r="M32" s="15">
        <f t="shared" si="12"/>
        <v>183.33333333333334</v>
      </c>
      <c r="N32" s="15">
        <f t="shared" si="12"/>
        <v>183.33333333333334</v>
      </c>
      <c r="O32" s="15">
        <f t="shared" si="12"/>
        <v>183.33333333333334</v>
      </c>
      <c r="P32" s="15"/>
      <c r="Q32" s="15">
        <f t="shared" si="13"/>
        <v>2199.9999999999995</v>
      </c>
      <c r="R32" s="16">
        <f t="shared" si="3"/>
        <v>0</v>
      </c>
      <c r="S32" s="11">
        <f t="shared" si="8"/>
        <v>0</v>
      </c>
      <c r="T32" s="18"/>
    </row>
    <row r="33" spans="1:20" s="5" customFormat="1" ht="15" x14ac:dyDescent="0.25">
      <c r="A33" s="13" t="s">
        <v>57</v>
      </c>
      <c r="B33" s="14" t="s">
        <v>58</v>
      </c>
      <c r="C33" s="15">
        <v>300</v>
      </c>
      <c r="D33" s="96">
        <f t="shared" si="12"/>
        <v>25</v>
      </c>
      <c r="E33" s="15">
        <f t="shared" si="12"/>
        <v>25</v>
      </c>
      <c r="F33" s="15">
        <f t="shared" si="12"/>
        <v>25</v>
      </c>
      <c r="G33" s="15">
        <f t="shared" si="12"/>
        <v>25</v>
      </c>
      <c r="H33" s="15">
        <f t="shared" si="12"/>
        <v>25</v>
      </c>
      <c r="I33" s="15">
        <f t="shared" si="12"/>
        <v>25</v>
      </c>
      <c r="J33" s="15">
        <f t="shared" si="12"/>
        <v>25</v>
      </c>
      <c r="K33" s="15">
        <f t="shared" si="12"/>
        <v>25</v>
      </c>
      <c r="L33" s="15">
        <f t="shared" si="12"/>
        <v>25</v>
      </c>
      <c r="M33" s="15">
        <f t="shared" si="12"/>
        <v>25</v>
      </c>
      <c r="N33" s="15">
        <f t="shared" si="12"/>
        <v>25</v>
      </c>
      <c r="O33" s="15">
        <f t="shared" si="12"/>
        <v>25</v>
      </c>
      <c r="P33" s="15"/>
      <c r="Q33" s="15">
        <f t="shared" si="13"/>
        <v>300</v>
      </c>
      <c r="R33" s="16">
        <f t="shared" si="3"/>
        <v>0</v>
      </c>
      <c r="S33" s="11">
        <f t="shared" si="8"/>
        <v>0</v>
      </c>
      <c r="T33" s="18"/>
    </row>
    <row r="34" spans="1:20" s="5" customFormat="1" ht="15" x14ac:dyDescent="0.25">
      <c r="A34" s="13" t="s">
        <v>59</v>
      </c>
      <c r="B34" s="14" t="s">
        <v>60</v>
      </c>
      <c r="C34" s="15">
        <v>500</v>
      </c>
      <c r="D34" s="96">
        <f t="shared" si="12"/>
        <v>41.666666666666664</v>
      </c>
      <c r="E34" s="15">
        <f t="shared" si="12"/>
        <v>41.666666666666664</v>
      </c>
      <c r="F34" s="15">
        <f t="shared" si="12"/>
        <v>41.666666666666664</v>
      </c>
      <c r="G34" s="15">
        <f t="shared" si="12"/>
        <v>41.666666666666664</v>
      </c>
      <c r="H34" s="15">
        <f t="shared" si="12"/>
        <v>41.666666666666664</v>
      </c>
      <c r="I34" s="15">
        <f t="shared" si="12"/>
        <v>41.666666666666664</v>
      </c>
      <c r="J34" s="15">
        <f t="shared" si="12"/>
        <v>41.666666666666664</v>
      </c>
      <c r="K34" s="15">
        <f t="shared" si="12"/>
        <v>41.666666666666664</v>
      </c>
      <c r="L34" s="15">
        <f t="shared" si="12"/>
        <v>41.666666666666664</v>
      </c>
      <c r="M34" s="15">
        <f t="shared" si="12"/>
        <v>41.666666666666664</v>
      </c>
      <c r="N34" s="15">
        <f t="shared" si="12"/>
        <v>41.666666666666664</v>
      </c>
      <c r="O34" s="15">
        <f t="shared" si="12"/>
        <v>41.666666666666664</v>
      </c>
      <c r="P34" s="15"/>
      <c r="Q34" s="15">
        <f t="shared" si="13"/>
        <v>500.00000000000006</v>
      </c>
      <c r="R34" s="16">
        <f t="shared" si="3"/>
        <v>0</v>
      </c>
      <c r="S34" s="11">
        <f t="shared" si="8"/>
        <v>0</v>
      </c>
      <c r="T34" s="18"/>
    </row>
    <row r="35" spans="1:20" s="5" customFormat="1" ht="15" x14ac:dyDescent="0.25">
      <c r="A35" s="13" t="s">
        <v>61</v>
      </c>
      <c r="B35" s="14" t="s">
        <v>62</v>
      </c>
      <c r="C35" s="15">
        <v>5000</v>
      </c>
      <c r="D35" s="96">
        <f t="shared" si="12"/>
        <v>416.66666666666669</v>
      </c>
      <c r="E35" s="15">
        <f t="shared" si="12"/>
        <v>416.66666666666669</v>
      </c>
      <c r="F35" s="15">
        <f t="shared" si="12"/>
        <v>416.66666666666669</v>
      </c>
      <c r="G35" s="15">
        <f t="shared" si="12"/>
        <v>416.66666666666669</v>
      </c>
      <c r="H35" s="15">
        <f t="shared" si="12"/>
        <v>416.66666666666669</v>
      </c>
      <c r="I35" s="15">
        <f t="shared" si="12"/>
        <v>416.66666666666669</v>
      </c>
      <c r="J35" s="15">
        <f t="shared" si="12"/>
        <v>416.66666666666669</v>
      </c>
      <c r="K35" s="15">
        <f t="shared" si="12"/>
        <v>416.66666666666669</v>
      </c>
      <c r="L35" s="15">
        <f t="shared" si="12"/>
        <v>416.66666666666669</v>
      </c>
      <c r="M35" s="15">
        <f t="shared" si="12"/>
        <v>416.66666666666669</v>
      </c>
      <c r="N35" s="15">
        <f t="shared" si="12"/>
        <v>416.66666666666669</v>
      </c>
      <c r="O35" s="15">
        <f t="shared" si="12"/>
        <v>416.66666666666669</v>
      </c>
      <c r="P35" s="15"/>
      <c r="Q35" s="15">
        <f t="shared" si="13"/>
        <v>5000</v>
      </c>
      <c r="R35" s="16">
        <f t="shared" si="3"/>
        <v>0</v>
      </c>
      <c r="S35" s="11">
        <f t="shared" si="8"/>
        <v>0</v>
      </c>
      <c r="T35" s="18"/>
    </row>
    <row r="36" spans="1:20" s="5" customFormat="1" ht="15" x14ac:dyDescent="0.25">
      <c r="A36" s="13" t="s">
        <v>63</v>
      </c>
      <c r="B36" s="14" t="s">
        <v>64</v>
      </c>
      <c r="C36" s="15">
        <v>1200</v>
      </c>
      <c r="D36" s="96">
        <f t="shared" si="12"/>
        <v>100</v>
      </c>
      <c r="E36" s="15">
        <f t="shared" si="12"/>
        <v>100</v>
      </c>
      <c r="F36" s="15">
        <f t="shared" si="12"/>
        <v>100</v>
      </c>
      <c r="G36" s="15">
        <f t="shared" si="12"/>
        <v>100</v>
      </c>
      <c r="H36" s="15">
        <f t="shared" si="12"/>
        <v>100</v>
      </c>
      <c r="I36" s="15">
        <f t="shared" si="12"/>
        <v>100</v>
      </c>
      <c r="J36" s="15">
        <f t="shared" si="12"/>
        <v>100</v>
      </c>
      <c r="K36" s="15">
        <f t="shared" si="12"/>
        <v>100</v>
      </c>
      <c r="L36" s="15">
        <f t="shared" si="12"/>
        <v>100</v>
      </c>
      <c r="M36" s="15">
        <f t="shared" si="12"/>
        <v>100</v>
      </c>
      <c r="N36" s="15">
        <f t="shared" si="12"/>
        <v>100</v>
      </c>
      <c r="O36" s="15">
        <f t="shared" si="12"/>
        <v>100</v>
      </c>
      <c r="P36" s="15"/>
      <c r="Q36" s="15">
        <f t="shared" si="13"/>
        <v>1200</v>
      </c>
      <c r="R36" s="16">
        <f t="shared" si="3"/>
        <v>0</v>
      </c>
      <c r="S36" s="11">
        <f t="shared" si="8"/>
        <v>0</v>
      </c>
      <c r="T36" s="18"/>
    </row>
    <row r="37" spans="1:20" s="5" customFormat="1" ht="15" x14ac:dyDescent="0.25">
      <c r="A37" s="13" t="s">
        <v>65</v>
      </c>
      <c r="B37" s="14" t="s">
        <v>66</v>
      </c>
      <c r="C37" s="15">
        <f>1800+3120</f>
        <v>4920</v>
      </c>
      <c r="D37" s="96">
        <f t="shared" si="12"/>
        <v>410</v>
      </c>
      <c r="E37" s="15">
        <f t="shared" si="12"/>
        <v>410</v>
      </c>
      <c r="F37" s="15">
        <f t="shared" si="12"/>
        <v>410</v>
      </c>
      <c r="G37" s="15">
        <f t="shared" si="12"/>
        <v>410</v>
      </c>
      <c r="H37" s="15">
        <f t="shared" si="12"/>
        <v>410</v>
      </c>
      <c r="I37" s="15">
        <f t="shared" si="12"/>
        <v>410</v>
      </c>
      <c r="J37" s="15">
        <f t="shared" si="12"/>
        <v>410</v>
      </c>
      <c r="K37" s="15">
        <f t="shared" si="12"/>
        <v>410</v>
      </c>
      <c r="L37" s="15">
        <f t="shared" si="12"/>
        <v>410</v>
      </c>
      <c r="M37" s="15">
        <f t="shared" si="12"/>
        <v>410</v>
      </c>
      <c r="N37" s="15">
        <f t="shared" si="12"/>
        <v>410</v>
      </c>
      <c r="O37" s="15">
        <f t="shared" si="12"/>
        <v>410</v>
      </c>
      <c r="P37" s="15"/>
      <c r="Q37" s="15">
        <f t="shared" si="13"/>
        <v>4920</v>
      </c>
      <c r="R37" s="16">
        <f t="shared" si="3"/>
        <v>0</v>
      </c>
      <c r="S37" s="11">
        <f t="shared" si="8"/>
        <v>0</v>
      </c>
      <c r="T37" s="18"/>
    </row>
    <row r="38" spans="1:20" s="5" customFormat="1" ht="15" x14ac:dyDescent="0.25">
      <c r="A38" s="12"/>
      <c r="C38" s="19">
        <f t="shared" ref="C38:O38" si="14">SUM(C25:C37)</f>
        <v>25910</v>
      </c>
      <c r="D38" s="97">
        <f t="shared" si="14"/>
        <v>2159.166666666667</v>
      </c>
      <c r="E38" s="19">
        <f t="shared" si="14"/>
        <v>2159.166666666667</v>
      </c>
      <c r="F38" s="19">
        <f t="shared" si="14"/>
        <v>2159.166666666667</v>
      </c>
      <c r="G38" s="19">
        <f t="shared" si="14"/>
        <v>2159.166666666667</v>
      </c>
      <c r="H38" s="19">
        <f t="shared" si="14"/>
        <v>2159.166666666667</v>
      </c>
      <c r="I38" s="19">
        <f t="shared" si="14"/>
        <v>2159.166666666667</v>
      </c>
      <c r="J38" s="19">
        <f t="shared" si="14"/>
        <v>2159.166666666667</v>
      </c>
      <c r="K38" s="19">
        <f t="shared" si="14"/>
        <v>2159.166666666667</v>
      </c>
      <c r="L38" s="19">
        <f t="shared" si="14"/>
        <v>2159.166666666667</v>
      </c>
      <c r="M38" s="19">
        <f t="shared" si="14"/>
        <v>2159.166666666667</v>
      </c>
      <c r="N38" s="19">
        <f t="shared" si="14"/>
        <v>2159.166666666667</v>
      </c>
      <c r="O38" s="19">
        <f t="shared" si="14"/>
        <v>2159.166666666667</v>
      </c>
      <c r="P38" s="19"/>
      <c r="Q38" s="19">
        <f>SUM(Q25:Q37)</f>
        <v>25910</v>
      </c>
      <c r="R38" s="16">
        <f t="shared" si="3"/>
        <v>0</v>
      </c>
      <c r="S38" s="25">
        <f t="shared" si="8"/>
        <v>0</v>
      </c>
      <c r="T38" s="21"/>
    </row>
    <row r="39" spans="1:20" s="5" customFormat="1" ht="15" x14ac:dyDescent="0.25">
      <c r="C39" s="22"/>
      <c r="D39" s="9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</row>
    <row r="40" spans="1:20" s="5" customFormat="1" ht="15" x14ac:dyDescent="0.25">
      <c r="A40" s="12" t="s">
        <v>67</v>
      </c>
      <c r="C40" s="22"/>
      <c r="D40" s="9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</row>
    <row r="41" spans="1:20" s="5" customFormat="1" ht="15" hidden="1" customHeight="1" x14ac:dyDescent="0.25">
      <c r="A41" s="13" t="s">
        <v>68</v>
      </c>
      <c r="B41" s="14" t="s">
        <v>69</v>
      </c>
      <c r="C41" s="15">
        <v>200</v>
      </c>
      <c r="D41" s="96">
        <f t="shared" ref="D41:O48" si="15">$C41/12</f>
        <v>16.666666666666668</v>
      </c>
      <c r="E41" s="15">
        <f t="shared" si="15"/>
        <v>16.666666666666668</v>
      </c>
      <c r="F41" s="15">
        <f t="shared" si="15"/>
        <v>16.666666666666668</v>
      </c>
      <c r="G41" s="15">
        <f t="shared" si="15"/>
        <v>16.666666666666668</v>
      </c>
      <c r="H41" s="15">
        <f t="shared" si="15"/>
        <v>16.666666666666668</v>
      </c>
      <c r="I41" s="15">
        <f t="shared" si="15"/>
        <v>16.666666666666668</v>
      </c>
      <c r="J41" s="15">
        <f t="shared" si="15"/>
        <v>16.666666666666668</v>
      </c>
      <c r="K41" s="15">
        <f t="shared" si="15"/>
        <v>16.666666666666668</v>
      </c>
      <c r="L41" s="15">
        <f t="shared" si="15"/>
        <v>16.666666666666668</v>
      </c>
      <c r="M41" s="15">
        <f t="shared" si="15"/>
        <v>16.666666666666668</v>
      </c>
      <c r="N41" s="15">
        <f t="shared" si="15"/>
        <v>16.666666666666668</v>
      </c>
      <c r="O41" s="15">
        <f t="shared" si="15"/>
        <v>16.666666666666668</v>
      </c>
      <c r="P41" s="15"/>
      <c r="Q41" s="15">
        <f t="shared" ref="Q41" si="16">D41/26*$O$4</f>
        <v>1.2820512820512822</v>
      </c>
      <c r="R41" s="16">
        <f t="shared" si="3"/>
        <v>-198.7179487179487</v>
      </c>
      <c r="S41" s="17"/>
      <c r="T41" s="18"/>
    </row>
    <row r="42" spans="1:20" s="5" customFormat="1" ht="15" hidden="1" x14ac:dyDescent="0.25">
      <c r="A42" s="13" t="s">
        <v>70</v>
      </c>
      <c r="B42" s="14" t="s">
        <v>71</v>
      </c>
      <c r="C42" s="15">
        <v>1000</v>
      </c>
      <c r="D42" s="96">
        <f t="shared" si="15"/>
        <v>83.333333333333329</v>
      </c>
      <c r="E42" s="15">
        <f t="shared" si="15"/>
        <v>83.333333333333329</v>
      </c>
      <c r="F42" s="15">
        <f t="shared" si="15"/>
        <v>83.333333333333329</v>
      </c>
      <c r="G42" s="15">
        <f t="shared" si="15"/>
        <v>83.333333333333329</v>
      </c>
      <c r="H42" s="15">
        <f t="shared" si="15"/>
        <v>83.333333333333329</v>
      </c>
      <c r="I42" s="15">
        <f t="shared" si="15"/>
        <v>83.333333333333329</v>
      </c>
      <c r="J42" s="15">
        <f t="shared" si="15"/>
        <v>83.333333333333329</v>
      </c>
      <c r="K42" s="15">
        <f t="shared" si="15"/>
        <v>83.333333333333329</v>
      </c>
      <c r="L42" s="15">
        <f t="shared" si="15"/>
        <v>83.333333333333329</v>
      </c>
      <c r="M42" s="15">
        <f t="shared" si="15"/>
        <v>83.333333333333329</v>
      </c>
      <c r="N42" s="15">
        <f t="shared" si="15"/>
        <v>83.333333333333329</v>
      </c>
      <c r="O42" s="15">
        <f t="shared" si="15"/>
        <v>83.333333333333329</v>
      </c>
      <c r="P42" s="15"/>
      <c r="Q42" s="15">
        <f t="shared" ref="Q42:Q48" si="17">SUM(D42:O42)</f>
        <v>1000.0000000000001</v>
      </c>
      <c r="R42" s="16">
        <f t="shared" si="3"/>
        <v>0</v>
      </c>
      <c r="S42" s="11">
        <f t="shared" ref="S42:S48" si="18">Q42-C42</f>
        <v>0</v>
      </c>
      <c r="T42" s="18"/>
    </row>
    <row r="43" spans="1:20" s="5" customFormat="1" ht="15" hidden="1" x14ac:dyDescent="0.25">
      <c r="A43" s="13" t="s">
        <v>72</v>
      </c>
      <c r="B43" s="14" t="s">
        <v>73</v>
      </c>
      <c r="C43" s="15">
        <v>800</v>
      </c>
      <c r="D43" s="96">
        <f t="shared" si="15"/>
        <v>66.666666666666671</v>
      </c>
      <c r="E43" s="15">
        <f t="shared" si="15"/>
        <v>66.666666666666671</v>
      </c>
      <c r="F43" s="15">
        <f t="shared" si="15"/>
        <v>66.666666666666671</v>
      </c>
      <c r="G43" s="15">
        <f t="shared" si="15"/>
        <v>66.666666666666671</v>
      </c>
      <c r="H43" s="15">
        <f t="shared" si="15"/>
        <v>66.666666666666671</v>
      </c>
      <c r="I43" s="15">
        <f t="shared" si="15"/>
        <v>66.666666666666671</v>
      </c>
      <c r="J43" s="15">
        <f t="shared" si="15"/>
        <v>66.666666666666671</v>
      </c>
      <c r="K43" s="15">
        <f t="shared" si="15"/>
        <v>66.666666666666671</v>
      </c>
      <c r="L43" s="15">
        <f t="shared" si="15"/>
        <v>66.666666666666671</v>
      </c>
      <c r="M43" s="15">
        <f t="shared" si="15"/>
        <v>66.666666666666671</v>
      </c>
      <c r="N43" s="15">
        <f t="shared" si="15"/>
        <v>66.666666666666671</v>
      </c>
      <c r="O43" s="15">
        <f t="shared" si="15"/>
        <v>66.666666666666671</v>
      </c>
      <c r="P43" s="15"/>
      <c r="Q43" s="15">
        <f t="shared" si="17"/>
        <v>799.99999999999989</v>
      </c>
      <c r="R43" s="16">
        <f t="shared" si="3"/>
        <v>0</v>
      </c>
      <c r="S43" s="11">
        <f t="shared" si="18"/>
        <v>0</v>
      </c>
      <c r="T43" s="18"/>
    </row>
    <row r="44" spans="1:20" s="5" customFormat="1" ht="15" hidden="1" customHeight="1" x14ac:dyDescent="0.25">
      <c r="A44" s="13" t="s">
        <v>74</v>
      </c>
      <c r="B44" s="14" t="s">
        <v>75</v>
      </c>
      <c r="C44" s="15">
        <v>300</v>
      </c>
      <c r="D44" s="96">
        <f t="shared" si="15"/>
        <v>25</v>
      </c>
      <c r="E44" s="15">
        <f t="shared" si="15"/>
        <v>25</v>
      </c>
      <c r="F44" s="15">
        <f t="shared" si="15"/>
        <v>25</v>
      </c>
      <c r="G44" s="15">
        <f t="shared" si="15"/>
        <v>25</v>
      </c>
      <c r="H44" s="15">
        <f t="shared" si="15"/>
        <v>25</v>
      </c>
      <c r="I44" s="15">
        <f t="shared" si="15"/>
        <v>25</v>
      </c>
      <c r="J44" s="15">
        <f t="shared" si="15"/>
        <v>25</v>
      </c>
      <c r="K44" s="15">
        <f t="shared" si="15"/>
        <v>25</v>
      </c>
      <c r="L44" s="15">
        <f t="shared" si="15"/>
        <v>25</v>
      </c>
      <c r="M44" s="15">
        <f t="shared" si="15"/>
        <v>25</v>
      </c>
      <c r="N44" s="15">
        <f t="shared" si="15"/>
        <v>25</v>
      </c>
      <c r="O44" s="15">
        <f t="shared" si="15"/>
        <v>25</v>
      </c>
      <c r="P44" s="15"/>
      <c r="Q44" s="15">
        <f t="shared" si="17"/>
        <v>300</v>
      </c>
      <c r="R44" s="16">
        <f t="shared" si="3"/>
        <v>0</v>
      </c>
      <c r="S44" s="11">
        <f t="shared" si="18"/>
        <v>0</v>
      </c>
      <c r="T44" s="18"/>
    </row>
    <row r="45" spans="1:20" s="5" customFormat="1" ht="15" hidden="1" x14ac:dyDescent="0.25">
      <c r="A45" s="13" t="s">
        <v>76</v>
      </c>
      <c r="B45" s="14" t="s">
        <v>77</v>
      </c>
      <c r="C45" s="15">
        <v>250</v>
      </c>
      <c r="D45" s="96">
        <f t="shared" si="15"/>
        <v>20.833333333333332</v>
      </c>
      <c r="E45" s="15">
        <f t="shared" si="15"/>
        <v>20.833333333333332</v>
      </c>
      <c r="F45" s="15">
        <f t="shared" si="15"/>
        <v>20.833333333333332</v>
      </c>
      <c r="G45" s="15">
        <f t="shared" si="15"/>
        <v>20.833333333333332</v>
      </c>
      <c r="H45" s="15">
        <f t="shared" si="15"/>
        <v>20.833333333333332</v>
      </c>
      <c r="I45" s="15">
        <f t="shared" si="15"/>
        <v>20.833333333333332</v>
      </c>
      <c r="J45" s="15">
        <f t="shared" si="15"/>
        <v>20.833333333333332</v>
      </c>
      <c r="K45" s="15">
        <f t="shared" si="15"/>
        <v>20.833333333333332</v>
      </c>
      <c r="L45" s="15">
        <f t="shared" si="15"/>
        <v>20.833333333333332</v>
      </c>
      <c r="M45" s="15">
        <f t="shared" si="15"/>
        <v>20.833333333333332</v>
      </c>
      <c r="N45" s="15">
        <f t="shared" si="15"/>
        <v>20.833333333333332</v>
      </c>
      <c r="O45" s="15">
        <f t="shared" si="15"/>
        <v>20.833333333333332</v>
      </c>
      <c r="P45" s="15"/>
      <c r="Q45" s="15">
        <f t="shared" si="17"/>
        <v>250.00000000000003</v>
      </c>
      <c r="R45" s="16">
        <f t="shared" si="3"/>
        <v>0</v>
      </c>
      <c r="S45" s="11">
        <f t="shared" si="18"/>
        <v>0</v>
      </c>
      <c r="T45" s="18"/>
    </row>
    <row r="46" spans="1:20" s="5" customFormat="1" ht="15" hidden="1" x14ac:dyDescent="0.25">
      <c r="A46" s="13" t="s">
        <v>78</v>
      </c>
      <c r="B46" s="91" t="s">
        <v>79</v>
      </c>
      <c r="C46" s="15">
        <f>C47*11%</f>
        <v>6600</v>
      </c>
      <c r="D46" s="96">
        <f t="shared" si="15"/>
        <v>550</v>
      </c>
      <c r="E46" s="15">
        <f t="shared" si="15"/>
        <v>550</v>
      </c>
      <c r="F46" s="15">
        <f t="shared" si="15"/>
        <v>550</v>
      </c>
      <c r="G46" s="15">
        <f t="shared" si="15"/>
        <v>550</v>
      </c>
      <c r="H46" s="15">
        <f t="shared" si="15"/>
        <v>550</v>
      </c>
      <c r="I46" s="15">
        <f t="shared" si="15"/>
        <v>550</v>
      </c>
      <c r="J46" s="15">
        <f t="shared" si="15"/>
        <v>550</v>
      </c>
      <c r="K46" s="15">
        <f t="shared" si="15"/>
        <v>550</v>
      </c>
      <c r="L46" s="15">
        <f t="shared" si="15"/>
        <v>550</v>
      </c>
      <c r="M46" s="15">
        <f t="shared" si="15"/>
        <v>550</v>
      </c>
      <c r="N46" s="15">
        <f t="shared" si="15"/>
        <v>550</v>
      </c>
      <c r="O46" s="15">
        <f t="shared" si="15"/>
        <v>550</v>
      </c>
      <c r="P46" s="15"/>
      <c r="Q46" s="15">
        <f t="shared" si="17"/>
        <v>6600</v>
      </c>
      <c r="R46" s="16">
        <f t="shared" si="3"/>
        <v>0</v>
      </c>
      <c r="S46" s="11">
        <f t="shared" si="18"/>
        <v>0</v>
      </c>
      <c r="T46" s="18"/>
    </row>
    <row r="47" spans="1:20" s="5" customFormat="1" ht="15" hidden="1" x14ac:dyDescent="0.25">
      <c r="A47" s="13" t="s">
        <v>80</v>
      </c>
      <c r="B47" s="14" t="s">
        <v>81</v>
      </c>
      <c r="C47" s="15">
        <v>60000</v>
      </c>
      <c r="D47" s="96">
        <f t="shared" si="15"/>
        <v>5000</v>
      </c>
      <c r="E47" s="15">
        <f t="shared" si="15"/>
        <v>5000</v>
      </c>
      <c r="F47" s="15">
        <f t="shared" si="15"/>
        <v>5000</v>
      </c>
      <c r="G47" s="15">
        <f t="shared" si="15"/>
        <v>5000</v>
      </c>
      <c r="H47" s="15">
        <f t="shared" si="15"/>
        <v>5000</v>
      </c>
      <c r="I47" s="15">
        <f t="shared" si="15"/>
        <v>5000</v>
      </c>
      <c r="J47" s="15">
        <f t="shared" si="15"/>
        <v>5000</v>
      </c>
      <c r="K47" s="15">
        <f t="shared" si="15"/>
        <v>5000</v>
      </c>
      <c r="L47" s="15">
        <f t="shared" si="15"/>
        <v>5000</v>
      </c>
      <c r="M47" s="15">
        <f t="shared" si="15"/>
        <v>5000</v>
      </c>
      <c r="N47" s="15">
        <f t="shared" si="15"/>
        <v>5000</v>
      </c>
      <c r="O47" s="15">
        <f t="shared" si="15"/>
        <v>5000</v>
      </c>
      <c r="P47" s="15"/>
      <c r="Q47" s="15">
        <f t="shared" si="17"/>
        <v>60000</v>
      </c>
      <c r="R47" s="16">
        <f t="shared" si="3"/>
        <v>0</v>
      </c>
      <c r="S47" s="11">
        <f t="shared" si="18"/>
        <v>0</v>
      </c>
      <c r="T47" s="18"/>
    </row>
    <row r="48" spans="1:20" s="5" customFormat="1" ht="15" hidden="1" x14ac:dyDescent="0.25">
      <c r="A48" s="13" t="s">
        <v>82</v>
      </c>
      <c r="B48" s="14" t="s">
        <v>83</v>
      </c>
      <c r="C48" s="15">
        <v>1000</v>
      </c>
      <c r="D48" s="96">
        <f t="shared" si="15"/>
        <v>83.333333333333329</v>
      </c>
      <c r="E48" s="15">
        <f t="shared" si="15"/>
        <v>83.333333333333329</v>
      </c>
      <c r="F48" s="15">
        <f t="shared" si="15"/>
        <v>83.333333333333329</v>
      </c>
      <c r="G48" s="15">
        <f t="shared" si="15"/>
        <v>83.333333333333329</v>
      </c>
      <c r="H48" s="15">
        <f t="shared" si="15"/>
        <v>83.333333333333329</v>
      </c>
      <c r="I48" s="15">
        <f t="shared" si="15"/>
        <v>83.333333333333329</v>
      </c>
      <c r="J48" s="15">
        <f t="shared" si="15"/>
        <v>83.333333333333329</v>
      </c>
      <c r="K48" s="15">
        <f t="shared" si="15"/>
        <v>83.333333333333329</v>
      </c>
      <c r="L48" s="15">
        <f t="shared" si="15"/>
        <v>83.333333333333329</v>
      </c>
      <c r="M48" s="15">
        <f t="shared" si="15"/>
        <v>83.333333333333329</v>
      </c>
      <c r="N48" s="15">
        <f t="shared" si="15"/>
        <v>83.333333333333329</v>
      </c>
      <c r="O48" s="15">
        <f t="shared" si="15"/>
        <v>83.333333333333329</v>
      </c>
      <c r="P48" s="15"/>
      <c r="Q48" s="15">
        <f t="shared" si="17"/>
        <v>1000.0000000000001</v>
      </c>
      <c r="R48" s="16">
        <f t="shared" si="3"/>
        <v>0</v>
      </c>
      <c r="S48" s="11">
        <f t="shared" si="18"/>
        <v>0</v>
      </c>
      <c r="T48" s="18"/>
    </row>
    <row r="49" spans="1:20" s="5" customFormat="1" ht="15" x14ac:dyDescent="0.25">
      <c r="A49" s="12"/>
      <c r="C49" s="19">
        <f t="shared" ref="C49:Q49" si="19">SUM(C41:C48)</f>
        <v>70150</v>
      </c>
      <c r="D49" s="97">
        <f t="shared" si="19"/>
        <v>5845.833333333333</v>
      </c>
      <c r="E49" s="19">
        <f t="shared" si="19"/>
        <v>5845.833333333333</v>
      </c>
      <c r="F49" s="19">
        <f t="shared" si="19"/>
        <v>5845.833333333333</v>
      </c>
      <c r="G49" s="19">
        <f t="shared" si="19"/>
        <v>5845.833333333333</v>
      </c>
      <c r="H49" s="19">
        <f t="shared" si="19"/>
        <v>5845.833333333333</v>
      </c>
      <c r="I49" s="19">
        <f t="shared" si="19"/>
        <v>5845.833333333333</v>
      </c>
      <c r="J49" s="19">
        <f t="shared" si="19"/>
        <v>5845.833333333333</v>
      </c>
      <c r="K49" s="19">
        <f t="shared" si="19"/>
        <v>5845.833333333333</v>
      </c>
      <c r="L49" s="19">
        <f t="shared" si="19"/>
        <v>5845.833333333333</v>
      </c>
      <c r="M49" s="19">
        <f t="shared" si="19"/>
        <v>5845.833333333333</v>
      </c>
      <c r="N49" s="19">
        <f t="shared" si="19"/>
        <v>5845.833333333333</v>
      </c>
      <c r="O49" s="19">
        <f t="shared" si="19"/>
        <v>5845.833333333333</v>
      </c>
      <c r="P49" s="19"/>
      <c r="Q49" s="19">
        <f t="shared" si="19"/>
        <v>69951.282051282047</v>
      </c>
      <c r="R49" s="16">
        <f t="shared" si="3"/>
        <v>-198.71794871796737</v>
      </c>
      <c r="S49" s="25">
        <f>Q49-C49</f>
        <v>-198.71794871795282</v>
      </c>
      <c r="T49" s="21"/>
    </row>
    <row r="50" spans="1:20" s="5" customFormat="1" ht="15" x14ac:dyDescent="0.25">
      <c r="C50" s="22"/>
      <c r="D50" s="9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</row>
    <row r="51" spans="1:20" s="5" customFormat="1" ht="15" x14ac:dyDescent="0.25">
      <c r="A51" s="12" t="s">
        <v>84</v>
      </c>
      <c r="C51" s="22"/>
      <c r="D51" s="9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23"/>
    </row>
    <row r="52" spans="1:20" s="5" customFormat="1" ht="15" x14ac:dyDescent="0.25">
      <c r="A52" s="13" t="s">
        <v>85</v>
      </c>
      <c r="B52" s="14" t="s">
        <v>86</v>
      </c>
      <c r="C52" s="15">
        <v>3000</v>
      </c>
      <c r="D52" s="96">
        <f t="shared" ref="D52:O54" si="20">$C52/12</f>
        <v>250</v>
      </c>
      <c r="E52" s="15">
        <f t="shared" si="20"/>
        <v>250</v>
      </c>
      <c r="F52" s="15">
        <f t="shared" si="20"/>
        <v>250</v>
      </c>
      <c r="G52" s="15">
        <f t="shared" si="20"/>
        <v>250</v>
      </c>
      <c r="H52" s="15">
        <f t="shared" si="20"/>
        <v>250</v>
      </c>
      <c r="I52" s="15">
        <f t="shared" si="20"/>
        <v>250</v>
      </c>
      <c r="J52" s="15">
        <f t="shared" si="20"/>
        <v>250</v>
      </c>
      <c r="K52" s="15">
        <f t="shared" si="20"/>
        <v>250</v>
      </c>
      <c r="L52" s="15">
        <f t="shared" si="20"/>
        <v>250</v>
      </c>
      <c r="M52" s="15">
        <f t="shared" si="20"/>
        <v>250</v>
      </c>
      <c r="N52" s="15">
        <f t="shared" si="20"/>
        <v>250</v>
      </c>
      <c r="O52" s="15">
        <f t="shared" si="20"/>
        <v>250</v>
      </c>
      <c r="P52" s="15"/>
      <c r="Q52" s="15">
        <f t="shared" ref="Q52:Q54" si="21">SUM(D52:O52)</f>
        <v>3000</v>
      </c>
      <c r="R52" s="16">
        <f t="shared" si="3"/>
        <v>0</v>
      </c>
      <c r="S52" s="17">
        <f t="shared" ref="S52:S72" si="22">Q52-C52</f>
        <v>0</v>
      </c>
      <c r="T52" s="18"/>
    </row>
    <row r="53" spans="1:20" s="5" customFormat="1" ht="15" hidden="1" customHeight="1" x14ac:dyDescent="0.25">
      <c r="A53" s="13" t="s">
        <v>87</v>
      </c>
      <c r="B53" s="14" t="s">
        <v>88</v>
      </c>
      <c r="C53" s="22">
        <v>0</v>
      </c>
      <c r="D53" s="96">
        <f t="shared" si="20"/>
        <v>0</v>
      </c>
      <c r="E53" s="15">
        <f t="shared" si="20"/>
        <v>0</v>
      </c>
      <c r="F53" s="15">
        <f t="shared" si="20"/>
        <v>0</v>
      </c>
      <c r="G53" s="15">
        <f t="shared" si="20"/>
        <v>0</v>
      </c>
      <c r="H53" s="15">
        <f t="shared" si="20"/>
        <v>0</v>
      </c>
      <c r="I53" s="15">
        <f t="shared" si="20"/>
        <v>0</v>
      </c>
      <c r="J53" s="15">
        <f t="shared" si="20"/>
        <v>0</v>
      </c>
      <c r="K53" s="15">
        <f t="shared" si="20"/>
        <v>0</v>
      </c>
      <c r="L53" s="15">
        <f t="shared" si="20"/>
        <v>0</v>
      </c>
      <c r="M53" s="15">
        <f t="shared" si="20"/>
        <v>0</v>
      </c>
      <c r="N53" s="15">
        <f t="shared" si="20"/>
        <v>0</v>
      </c>
      <c r="O53" s="15">
        <f t="shared" si="20"/>
        <v>0</v>
      </c>
      <c r="P53" s="15"/>
      <c r="Q53" s="15">
        <f t="shared" si="21"/>
        <v>0</v>
      </c>
      <c r="R53" s="16">
        <f t="shared" si="3"/>
        <v>0</v>
      </c>
      <c r="S53" s="17">
        <f t="shared" si="22"/>
        <v>0</v>
      </c>
      <c r="T53" s="18"/>
    </row>
    <row r="54" spans="1:20" s="5" customFormat="1" ht="15" x14ac:dyDescent="0.25">
      <c r="A54" s="13" t="s">
        <v>89</v>
      </c>
      <c r="B54" s="91" t="s">
        <v>90</v>
      </c>
      <c r="C54" s="15">
        <v>600</v>
      </c>
      <c r="D54" s="96">
        <f t="shared" si="20"/>
        <v>50</v>
      </c>
      <c r="E54" s="15">
        <f t="shared" si="20"/>
        <v>50</v>
      </c>
      <c r="F54" s="15">
        <f t="shared" si="20"/>
        <v>50</v>
      </c>
      <c r="G54" s="15">
        <f t="shared" si="20"/>
        <v>50</v>
      </c>
      <c r="H54" s="15">
        <f t="shared" si="20"/>
        <v>50</v>
      </c>
      <c r="I54" s="15">
        <f t="shared" si="20"/>
        <v>50</v>
      </c>
      <c r="J54" s="15">
        <f t="shared" si="20"/>
        <v>50</v>
      </c>
      <c r="K54" s="15">
        <f t="shared" si="20"/>
        <v>50</v>
      </c>
      <c r="L54" s="15">
        <f t="shared" si="20"/>
        <v>50</v>
      </c>
      <c r="M54" s="15">
        <f t="shared" si="20"/>
        <v>50</v>
      </c>
      <c r="N54" s="15">
        <f t="shared" si="20"/>
        <v>50</v>
      </c>
      <c r="O54" s="15">
        <f t="shared" si="20"/>
        <v>50</v>
      </c>
      <c r="P54" s="15"/>
      <c r="Q54" s="15">
        <f t="shared" si="21"/>
        <v>600</v>
      </c>
      <c r="R54" s="16">
        <f t="shared" si="3"/>
        <v>0</v>
      </c>
      <c r="S54" s="17">
        <f t="shared" si="22"/>
        <v>0</v>
      </c>
      <c r="T54" s="18"/>
    </row>
    <row r="55" spans="1:20" s="5" customFormat="1" ht="14.25" customHeight="1" x14ac:dyDescent="0.25">
      <c r="A55" s="12"/>
      <c r="C55" s="19">
        <f t="shared" ref="C55:Q55" si="23">SUM(C52:C54)</f>
        <v>3600</v>
      </c>
      <c r="D55" s="97">
        <f t="shared" si="23"/>
        <v>300</v>
      </c>
      <c r="E55" s="19">
        <f t="shared" si="23"/>
        <v>300</v>
      </c>
      <c r="F55" s="19">
        <f t="shared" si="23"/>
        <v>300</v>
      </c>
      <c r="G55" s="19">
        <f t="shared" si="23"/>
        <v>300</v>
      </c>
      <c r="H55" s="19">
        <f t="shared" si="23"/>
        <v>300</v>
      </c>
      <c r="I55" s="19">
        <f t="shared" si="23"/>
        <v>300</v>
      </c>
      <c r="J55" s="19">
        <f t="shared" si="23"/>
        <v>300</v>
      </c>
      <c r="K55" s="19">
        <f t="shared" si="23"/>
        <v>300</v>
      </c>
      <c r="L55" s="19">
        <f t="shared" si="23"/>
        <v>300</v>
      </c>
      <c r="M55" s="19">
        <f t="shared" si="23"/>
        <v>300</v>
      </c>
      <c r="N55" s="19">
        <f t="shared" si="23"/>
        <v>300</v>
      </c>
      <c r="O55" s="19">
        <f t="shared" si="23"/>
        <v>300</v>
      </c>
      <c r="P55" s="19"/>
      <c r="Q55" s="19">
        <f t="shared" si="23"/>
        <v>3600</v>
      </c>
      <c r="R55" s="16">
        <f t="shared" si="3"/>
        <v>0</v>
      </c>
      <c r="S55" s="20">
        <f t="shared" si="22"/>
        <v>0</v>
      </c>
      <c r="T55" s="21"/>
    </row>
    <row r="56" spans="1:20" s="5" customFormat="1" ht="15" hidden="1" x14ac:dyDescent="0.25">
      <c r="C56" s="22"/>
      <c r="D56" s="9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7"/>
    </row>
    <row r="57" spans="1:20" s="5" customFormat="1" ht="15" hidden="1" x14ac:dyDescent="0.25">
      <c r="A57" s="12" t="s">
        <v>91</v>
      </c>
      <c r="C57" s="22"/>
      <c r="D57" s="9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7"/>
      <c r="T57" s="23"/>
    </row>
    <row r="58" spans="1:20" s="5" customFormat="1" ht="15" hidden="1" x14ac:dyDescent="0.25">
      <c r="A58" s="13" t="s">
        <v>92</v>
      </c>
      <c r="B58" s="14" t="s">
        <v>93</v>
      </c>
      <c r="C58" s="15">
        <v>0</v>
      </c>
      <c r="D58" s="96">
        <f t="shared" ref="D58:O62" si="24">$C58/12</f>
        <v>0</v>
      </c>
      <c r="E58" s="15">
        <f t="shared" si="24"/>
        <v>0</v>
      </c>
      <c r="F58" s="15">
        <f t="shared" si="24"/>
        <v>0</v>
      </c>
      <c r="G58" s="15">
        <f t="shared" si="24"/>
        <v>0</v>
      </c>
      <c r="H58" s="15">
        <f t="shared" si="24"/>
        <v>0</v>
      </c>
      <c r="I58" s="15">
        <f t="shared" si="24"/>
        <v>0</v>
      </c>
      <c r="J58" s="15">
        <f t="shared" si="24"/>
        <v>0</v>
      </c>
      <c r="K58" s="15">
        <f t="shared" si="24"/>
        <v>0</v>
      </c>
      <c r="L58" s="15">
        <f t="shared" si="24"/>
        <v>0</v>
      </c>
      <c r="M58" s="15">
        <f t="shared" si="24"/>
        <v>0</v>
      </c>
      <c r="N58" s="15">
        <f t="shared" si="24"/>
        <v>0</v>
      </c>
      <c r="O58" s="15">
        <f t="shared" si="24"/>
        <v>0</v>
      </c>
      <c r="P58" s="15"/>
      <c r="Q58" s="15">
        <f t="shared" ref="Q58:Q62" si="25">SUM(D58:O58)</f>
        <v>0</v>
      </c>
      <c r="R58" s="16">
        <f t="shared" si="3"/>
        <v>0</v>
      </c>
      <c r="S58" s="11">
        <f t="shared" si="22"/>
        <v>0</v>
      </c>
      <c r="T58" s="18"/>
    </row>
    <row r="59" spans="1:20" s="5" customFormat="1" ht="15" hidden="1" x14ac:dyDescent="0.25">
      <c r="A59" s="13" t="s">
        <v>94</v>
      </c>
      <c r="B59" s="14" t="s">
        <v>95</v>
      </c>
      <c r="C59" s="15">
        <v>0</v>
      </c>
      <c r="D59" s="96">
        <f t="shared" si="24"/>
        <v>0</v>
      </c>
      <c r="E59" s="15">
        <f t="shared" si="24"/>
        <v>0</v>
      </c>
      <c r="F59" s="15">
        <f t="shared" si="24"/>
        <v>0</v>
      </c>
      <c r="G59" s="15">
        <f t="shared" si="24"/>
        <v>0</v>
      </c>
      <c r="H59" s="15">
        <f t="shared" si="24"/>
        <v>0</v>
      </c>
      <c r="I59" s="15">
        <f t="shared" si="24"/>
        <v>0</v>
      </c>
      <c r="J59" s="15">
        <f t="shared" si="24"/>
        <v>0</v>
      </c>
      <c r="K59" s="15">
        <f t="shared" si="24"/>
        <v>0</v>
      </c>
      <c r="L59" s="15">
        <f t="shared" si="24"/>
        <v>0</v>
      </c>
      <c r="M59" s="15">
        <f t="shared" si="24"/>
        <v>0</v>
      </c>
      <c r="N59" s="15">
        <f t="shared" si="24"/>
        <v>0</v>
      </c>
      <c r="O59" s="15">
        <f t="shared" si="24"/>
        <v>0</v>
      </c>
      <c r="P59" s="15"/>
      <c r="Q59" s="15">
        <f t="shared" si="25"/>
        <v>0</v>
      </c>
      <c r="R59" s="16">
        <f t="shared" si="3"/>
        <v>0</v>
      </c>
      <c r="S59" s="11">
        <f t="shared" si="22"/>
        <v>0</v>
      </c>
      <c r="T59" s="18"/>
    </row>
    <row r="60" spans="1:20" s="5" customFormat="1" ht="15" hidden="1" x14ac:dyDescent="0.25">
      <c r="A60" s="13" t="s">
        <v>96</v>
      </c>
      <c r="B60" s="14" t="s">
        <v>97</v>
      </c>
      <c r="C60" s="15">
        <v>0</v>
      </c>
      <c r="D60" s="96">
        <f t="shared" si="24"/>
        <v>0</v>
      </c>
      <c r="E60" s="15">
        <f t="shared" si="24"/>
        <v>0</v>
      </c>
      <c r="F60" s="15">
        <f t="shared" si="24"/>
        <v>0</v>
      </c>
      <c r="G60" s="15">
        <f t="shared" si="24"/>
        <v>0</v>
      </c>
      <c r="H60" s="15">
        <f t="shared" si="24"/>
        <v>0</v>
      </c>
      <c r="I60" s="15">
        <f t="shared" si="24"/>
        <v>0</v>
      </c>
      <c r="J60" s="15">
        <f t="shared" si="24"/>
        <v>0</v>
      </c>
      <c r="K60" s="15">
        <f t="shared" si="24"/>
        <v>0</v>
      </c>
      <c r="L60" s="15">
        <f t="shared" si="24"/>
        <v>0</v>
      </c>
      <c r="M60" s="15">
        <f t="shared" si="24"/>
        <v>0</v>
      </c>
      <c r="N60" s="15">
        <f t="shared" si="24"/>
        <v>0</v>
      </c>
      <c r="O60" s="15">
        <f t="shared" si="24"/>
        <v>0</v>
      </c>
      <c r="P60" s="15"/>
      <c r="Q60" s="15">
        <f t="shared" si="25"/>
        <v>0</v>
      </c>
      <c r="R60" s="16">
        <f t="shared" si="3"/>
        <v>0</v>
      </c>
      <c r="S60" s="11">
        <f t="shared" si="22"/>
        <v>0</v>
      </c>
      <c r="T60" s="18"/>
    </row>
    <row r="61" spans="1:20" s="5" customFormat="1" ht="15" hidden="1" x14ac:dyDescent="0.25">
      <c r="A61" s="13" t="s">
        <v>98</v>
      </c>
      <c r="B61" s="14" t="s">
        <v>99</v>
      </c>
      <c r="C61" s="15">
        <v>0</v>
      </c>
      <c r="D61" s="96">
        <f t="shared" si="24"/>
        <v>0</v>
      </c>
      <c r="E61" s="15">
        <f t="shared" si="24"/>
        <v>0</v>
      </c>
      <c r="F61" s="15">
        <f t="shared" si="24"/>
        <v>0</v>
      </c>
      <c r="G61" s="15">
        <f t="shared" si="24"/>
        <v>0</v>
      </c>
      <c r="H61" s="15">
        <f t="shared" si="24"/>
        <v>0</v>
      </c>
      <c r="I61" s="15">
        <f t="shared" si="24"/>
        <v>0</v>
      </c>
      <c r="J61" s="15">
        <f t="shared" si="24"/>
        <v>0</v>
      </c>
      <c r="K61" s="15">
        <f t="shared" si="24"/>
        <v>0</v>
      </c>
      <c r="L61" s="15">
        <f t="shared" si="24"/>
        <v>0</v>
      </c>
      <c r="M61" s="15">
        <f t="shared" si="24"/>
        <v>0</v>
      </c>
      <c r="N61" s="15">
        <f t="shared" si="24"/>
        <v>0</v>
      </c>
      <c r="O61" s="15">
        <f t="shared" si="24"/>
        <v>0</v>
      </c>
      <c r="P61" s="15"/>
      <c r="Q61" s="15">
        <f t="shared" si="25"/>
        <v>0</v>
      </c>
      <c r="R61" s="16">
        <f t="shared" si="3"/>
        <v>0</v>
      </c>
      <c r="S61" s="11">
        <f t="shared" si="22"/>
        <v>0</v>
      </c>
      <c r="T61" s="18"/>
    </row>
    <row r="62" spans="1:20" s="5" customFormat="1" ht="15" hidden="1" x14ac:dyDescent="0.25">
      <c r="A62" s="13" t="s">
        <v>100</v>
      </c>
      <c r="B62" s="14" t="s">
        <v>101</v>
      </c>
      <c r="C62" s="15">
        <v>0</v>
      </c>
      <c r="D62" s="96">
        <f t="shared" si="24"/>
        <v>0</v>
      </c>
      <c r="E62" s="15">
        <f t="shared" si="24"/>
        <v>0</v>
      </c>
      <c r="F62" s="15">
        <f t="shared" si="24"/>
        <v>0</v>
      </c>
      <c r="G62" s="15">
        <f t="shared" si="24"/>
        <v>0</v>
      </c>
      <c r="H62" s="15">
        <f t="shared" si="24"/>
        <v>0</v>
      </c>
      <c r="I62" s="15">
        <f t="shared" si="24"/>
        <v>0</v>
      </c>
      <c r="J62" s="15">
        <f t="shared" si="24"/>
        <v>0</v>
      </c>
      <c r="K62" s="15">
        <f t="shared" si="24"/>
        <v>0</v>
      </c>
      <c r="L62" s="15">
        <f t="shared" si="24"/>
        <v>0</v>
      </c>
      <c r="M62" s="15">
        <f t="shared" si="24"/>
        <v>0</v>
      </c>
      <c r="N62" s="15">
        <f t="shared" si="24"/>
        <v>0</v>
      </c>
      <c r="O62" s="15">
        <f t="shared" si="24"/>
        <v>0</v>
      </c>
      <c r="P62" s="15"/>
      <c r="Q62" s="15">
        <f t="shared" si="25"/>
        <v>0</v>
      </c>
      <c r="R62" s="16">
        <f t="shared" si="3"/>
        <v>0</v>
      </c>
      <c r="S62" s="11">
        <f t="shared" si="22"/>
        <v>0</v>
      </c>
      <c r="T62" s="18"/>
    </row>
    <row r="63" spans="1:20" s="5" customFormat="1" ht="15" hidden="1" x14ac:dyDescent="0.25">
      <c r="A63" s="12"/>
      <c r="C63" s="19">
        <f t="shared" ref="C63:Q63" si="26">SUM(C58:C62)</f>
        <v>0</v>
      </c>
      <c r="D63" s="97">
        <f t="shared" si="26"/>
        <v>0</v>
      </c>
      <c r="E63" s="19">
        <f t="shared" si="26"/>
        <v>0</v>
      </c>
      <c r="F63" s="19">
        <f t="shared" si="26"/>
        <v>0</v>
      </c>
      <c r="G63" s="19">
        <f t="shared" si="26"/>
        <v>0</v>
      </c>
      <c r="H63" s="19">
        <f t="shared" si="26"/>
        <v>0</v>
      </c>
      <c r="I63" s="19">
        <f t="shared" si="26"/>
        <v>0</v>
      </c>
      <c r="J63" s="19">
        <f t="shared" si="26"/>
        <v>0</v>
      </c>
      <c r="K63" s="19">
        <f t="shared" si="26"/>
        <v>0</v>
      </c>
      <c r="L63" s="19">
        <f t="shared" si="26"/>
        <v>0</v>
      </c>
      <c r="M63" s="19">
        <f t="shared" si="26"/>
        <v>0</v>
      </c>
      <c r="N63" s="19">
        <f t="shared" si="26"/>
        <v>0</v>
      </c>
      <c r="O63" s="19">
        <f t="shared" si="26"/>
        <v>0</v>
      </c>
      <c r="P63" s="19"/>
      <c r="Q63" s="19">
        <f t="shared" si="26"/>
        <v>0</v>
      </c>
      <c r="R63" s="16">
        <f t="shared" si="3"/>
        <v>0</v>
      </c>
      <c r="S63" s="25">
        <f t="shared" si="22"/>
        <v>0</v>
      </c>
      <c r="T63" s="21"/>
    </row>
    <row r="64" spans="1:20" s="5" customFormat="1" ht="15" x14ac:dyDescent="0.25">
      <c r="C64" s="22"/>
      <c r="D64" s="9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1"/>
    </row>
    <row r="65" spans="1:22" s="5" customFormat="1" ht="15" x14ac:dyDescent="0.25">
      <c r="A65" s="90" t="s">
        <v>102</v>
      </c>
      <c r="C65" s="30">
        <f t="shared" ref="C65:Q65" si="27">C55+C49+C38+C63</f>
        <v>99660</v>
      </c>
      <c r="D65" s="100">
        <f>D55+D49+D38</f>
        <v>8305</v>
      </c>
      <c r="E65" s="30">
        <f t="shared" si="27"/>
        <v>8305</v>
      </c>
      <c r="F65" s="30">
        <f t="shared" si="27"/>
        <v>8305</v>
      </c>
      <c r="G65" s="30">
        <f t="shared" si="27"/>
        <v>8305</v>
      </c>
      <c r="H65" s="30">
        <f t="shared" si="27"/>
        <v>8305</v>
      </c>
      <c r="I65" s="30">
        <f t="shared" si="27"/>
        <v>8305</v>
      </c>
      <c r="J65" s="30">
        <f t="shared" si="27"/>
        <v>8305</v>
      </c>
      <c r="K65" s="30">
        <f t="shared" si="27"/>
        <v>8305</v>
      </c>
      <c r="L65" s="30">
        <f t="shared" si="27"/>
        <v>8305</v>
      </c>
      <c r="M65" s="30">
        <f t="shared" si="27"/>
        <v>8305</v>
      </c>
      <c r="N65" s="30">
        <f t="shared" si="27"/>
        <v>8305</v>
      </c>
      <c r="O65" s="30">
        <f t="shared" si="27"/>
        <v>8305</v>
      </c>
      <c r="P65" s="30"/>
      <c r="Q65" s="30">
        <f t="shared" si="27"/>
        <v>99461.282051282047</v>
      </c>
      <c r="R65" s="16">
        <f t="shared" si="3"/>
        <v>-198.71794871795282</v>
      </c>
      <c r="S65" s="25">
        <f t="shared" si="22"/>
        <v>-198.71794871795282</v>
      </c>
      <c r="T65" s="21"/>
    </row>
    <row r="66" spans="1:22" s="5" customFormat="1" ht="15" x14ac:dyDescent="0.25">
      <c r="A66" s="31"/>
      <c r="C66" s="26"/>
      <c r="D66" s="10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16"/>
      <c r="S66" s="11"/>
    </row>
    <row r="67" spans="1:22" s="5" customFormat="1" ht="15.75" thickBot="1" x14ac:dyDescent="0.3">
      <c r="A67" s="90" t="s">
        <v>103</v>
      </c>
      <c r="C67" s="32">
        <f>+C22-C65</f>
        <v>-118160</v>
      </c>
      <c r="D67" s="102">
        <f t="shared" ref="D67:O67" si="28">D22-D65</f>
        <v>-9846.6666666666679</v>
      </c>
      <c r="E67" s="32">
        <f t="shared" si="28"/>
        <v>-9846.6666666666679</v>
      </c>
      <c r="F67" s="32">
        <f t="shared" si="28"/>
        <v>-9846.6666666666679</v>
      </c>
      <c r="G67" s="32">
        <f t="shared" si="28"/>
        <v>-9846.6666666666679</v>
      </c>
      <c r="H67" s="32">
        <f t="shared" si="28"/>
        <v>-9846.6666666666679</v>
      </c>
      <c r="I67" s="32">
        <f t="shared" si="28"/>
        <v>-9846.6666666666679</v>
      </c>
      <c r="J67" s="32">
        <f t="shared" si="28"/>
        <v>-9846.6666666666679</v>
      </c>
      <c r="K67" s="32">
        <f t="shared" si="28"/>
        <v>-9846.6666666666679</v>
      </c>
      <c r="L67" s="32">
        <f t="shared" si="28"/>
        <v>-9846.6666666666679</v>
      </c>
      <c r="M67" s="32">
        <f t="shared" si="28"/>
        <v>-9846.6666666666679</v>
      </c>
      <c r="N67" s="32">
        <f t="shared" si="28"/>
        <v>-9846.6666666666679</v>
      </c>
      <c r="O67" s="32">
        <f t="shared" si="28"/>
        <v>-9846.6666666666679</v>
      </c>
      <c r="P67" s="32"/>
      <c r="Q67" s="32">
        <f>Q22-Q65</f>
        <v>-117961.28205128205</v>
      </c>
      <c r="R67" s="16">
        <f t="shared" si="3"/>
        <v>198.71794871799648</v>
      </c>
      <c r="S67" s="25">
        <f t="shared" si="22"/>
        <v>198.71794871795282</v>
      </c>
      <c r="T67" s="21"/>
    </row>
    <row r="68" spans="1:22" s="5" customFormat="1" ht="15" x14ac:dyDescent="0.25">
      <c r="C68" s="22"/>
      <c r="D68" s="9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7"/>
    </row>
    <row r="69" spans="1:22" s="5" customFormat="1" ht="15" x14ac:dyDescent="0.25">
      <c r="A69" s="12" t="s">
        <v>104</v>
      </c>
      <c r="C69" s="22"/>
      <c r="D69" s="9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7"/>
      <c r="T69" s="23"/>
    </row>
    <row r="70" spans="1:22" s="5" customFormat="1" ht="15" hidden="1" customHeight="1" x14ac:dyDescent="0.25">
      <c r="A70" s="13" t="s">
        <v>105</v>
      </c>
      <c r="B70" s="14" t="s">
        <v>106</v>
      </c>
      <c r="C70" s="22">
        <v>0</v>
      </c>
      <c r="D70" s="96">
        <f t="shared" ref="D70:O72" si="29">$C70/12</f>
        <v>0</v>
      </c>
      <c r="E70" s="15">
        <f t="shared" si="29"/>
        <v>0</v>
      </c>
      <c r="F70" s="15">
        <f t="shared" si="29"/>
        <v>0</v>
      </c>
      <c r="G70" s="15">
        <f t="shared" si="29"/>
        <v>0</v>
      </c>
      <c r="H70" s="15">
        <f t="shared" si="29"/>
        <v>0</v>
      </c>
      <c r="I70" s="15">
        <f t="shared" si="29"/>
        <v>0</v>
      </c>
      <c r="J70" s="15">
        <f t="shared" si="29"/>
        <v>0</v>
      </c>
      <c r="K70" s="15">
        <f t="shared" si="29"/>
        <v>0</v>
      </c>
      <c r="L70" s="15">
        <f t="shared" si="29"/>
        <v>0</v>
      </c>
      <c r="M70" s="15">
        <f t="shared" si="29"/>
        <v>0</v>
      </c>
      <c r="N70" s="15">
        <f t="shared" si="29"/>
        <v>0</v>
      </c>
      <c r="O70" s="15">
        <f t="shared" si="29"/>
        <v>0</v>
      </c>
      <c r="P70" s="15"/>
      <c r="Q70" s="15">
        <v>0</v>
      </c>
      <c r="R70" s="16">
        <f t="shared" ref="R70:R75" si="30">Q70-SUM(D70:O70)</f>
        <v>0</v>
      </c>
      <c r="S70" s="17">
        <f t="shared" si="22"/>
        <v>0</v>
      </c>
      <c r="T70" s="18"/>
    </row>
    <row r="71" spans="1:22" s="5" customFormat="1" ht="15" x14ac:dyDescent="0.25">
      <c r="A71" s="13" t="s">
        <v>107</v>
      </c>
      <c r="B71" s="14" t="s">
        <v>108</v>
      </c>
      <c r="C71" s="15">
        <v>118000</v>
      </c>
      <c r="D71" s="96">
        <f t="shared" si="29"/>
        <v>9833.3333333333339</v>
      </c>
      <c r="E71" s="15">
        <f t="shared" si="29"/>
        <v>9833.3333333333339</v>
      </c>
      <c r="F71" s="15">
        <f t="shared" si="29"/>
        <v>9833.3333333333339</v>
      </c>
      <c r="G71" s="15">
        <f t="shared" si="29"/>
        <v>9833.3333333333339</v>
      </c>
      <c r="H71" s="15">
        <f t="shared" si="29"/>
        <v>9833.3333333333339</v>
      </c>
      <c r="I71" s="15">
        <f t="shared" si="29"/>
        <v>9833.3333333333339</v>
      </c>
      <c r="J71" s="15">
        <f t="shared" si="29"/>
        <v>9833.3333333333339</v>
      </c>
      <c r="K71" s="15">
        <f t="shared" si="29"/>
        <v>9833.3333333333339</v>
      </c>
      <c r="L71" s="15">
        <f t="shared" si="29"/>
        <v>9833.3333333333339</v>
      </c>
      <c r="M71" s="15">
        <f t="shared" si="29"/>
        <v>9833.3333333333339</v>
      </c>
      <c r="N71" s="15">
        <f t="shared" si="29"/>
        <v>9833.3333333333339</v>
      </c>
      <c r="O71" s="15">
        <f t="shared" si="29"/>
        <v>9833.3333333333339</v>
      </c>
      <c r="P71" s="15"/>
      <c r="Q71" s="15">
        <f t="shared" ref="Q71:Q72" si="31">SUM(D71:O71)</f>
        <v>117999.99999999999</v>
      </c>
      <c r="R71" s="16">
        <f t="shared" si="30"/>
        <v>0</v>
      </c>
      <c r="S71" s="17">
        <f t="shared" si="22"/>
        <v>0</v>
      </c>
      <c r="T71" s="18"/>
      <c r="V71" s="29"/>
    </row>
    <row r="72" spans="1:22" s="5" customFormat="1" ht="15" x14ac:dyDescent="0.25">
      <c r="A72" s="13" t="s">
        <v>109</v>
      </c>
      <c r="B72" s="14" t="s">
        <v>110</v>
      </c>
      <c r="C72" s="15">
        <v>1000</v>
      </c>
      <c r="D72" s="96">
        <f t="shared" si="29"/>
        <v>83.333333333333329</v>
      </c>
      <c r="E72" s="15">
        <f t="shared" si="29"/>
        <v>83.333333333333329</v>
      </c>
      <c r="F72" s="15">
        <f t="shared" si="29"/>
        <v>83.333333333333329</v>
      </c>
      <c r="G72" s="15">
        <f t="shared" si="29"/>
        <v>83.333333333333329</v>
      </c>
      <c r="H72" s="15">
        <f t="shared" si="29"/>
        <v>83.333333333333329</v>
      </c>
      <c r="I72" s="15">
        <f t="shared" si="29"/>
        <v>83.333333333333329</v>
      </c>
      <c r="J72" s="15">
        <f t="shared" si="29"/>
        <v>83.333333333333329</v>
      </c>
      <c r="K72" s="15">
        <f t="shared" si="29"/>
        <v>83.333333333333329</v>
      </c>
      <c r="L72" s="15">
        <f t="shared" si="29"/>
        <v>83.333333333333329</v>
      </c>
      <c r="M72" s="15">
        <f t="shared" si="29"/>
        <v>83.333333333333329</v>
      </c>
      <c r="N72" s="15">
        <f t="shared" si="29"/>
        <v>83.333333333333329</v>
      </c>
      <c r="O72" s="15">
        <f t="shared" si="29"/>
        <v>83.333333333333329</v>
      </c>
      <c r="P72" s="15"/>
      <c r="Q72" s="15">
        <f t="shared" si="31"/>
        <v>1000.0000000000001</v>
      </c>
      <c r="R72" s="16">
        <f t="shared" si="30"/>
        <v>0</v>
      </c>
      <c r="S72" s="33">
        <f t="shared" si="22"/>
        <v>0</v>
      </c>
      <c r="T72" s="18"/>
    </row>
    <row r="73" spans="1:22" s="5" customFormat="1" ht="15" x14ac:dyDescent="0.25">
      <c r="A73" s="34"/>
      <c r="C73" s="19">
        <f>SUM(C70:C72)</f>
        <v>119000</v>
      </c>
      <c r="D73" s="97">
        <f t="shared" ref="D73:Q73" si="32">SUM(D71:D72)</f>
        <v>9916.6666666666679</v>
      </c>
      <c r="E73" s="19">
        <f t="shared" si="32"/>
        <v>9916.6666666666679</v>
      </c>
      <c r="F73" s="19">
        <f t="shared" si="32"/>
        <v>9916.6666666666679</v>
      </c>
      <c r="G73" s="19">
        <f t="shared" si="32"/>
        <v>9916.6666666666679</v>
      </c>
      <c r="H73" s="19">
        <f t="shared" si="32"/>
        <v>9916.6666666666679</v>
      </c>
      <c r="I73" s="19">
        <f t="shared" si="32"/>
        <v>9916.6666666666679</v>
      </c>
      <c r="J73" s="19">
        <f t="shared" si="32"/>
        <v>9916.6666666666679</v>
      </c>
      <c r="K73" s="19">
        <f t="shared" si="32"/>
        <v>9916.6666666666679</v>
      </c>
      <c r="L73" s="19">
        <f t="shared" si="32"/>
        <v>9916.6666666666679</v>
      </c>
      <c r="M73" s="19">
        <f t="shared" si="32"/>
        <v>9916.6666666666679</v>
      </c>
      <c r="N73" s="19">
        <f t="shared" si="32"/>
        <v>9916.6666666666679</v>
      </c>
      <c r="O73" s="19">
        <f t="shared" si="32"/>
        <v>9916.6666666666679</v>
      </c>
      <c r="P73" s="19"/>
      <c r="Q73" s="19">
        <f t="shared" si="32"/>
        <v>118999.99999999999</v>
      </c>
      <c r="R73" s="16">
        <f t="shared" si="30"/>
        <v>0</v>
      </c>
      <c r="S73" s="17">
        <v>0</v>
      </c>
      <c r="T73" s="21"/>
    </row>
    <row r="74" spans="1:22" s="5" customFormat="1" ht="15.75" thickBot="1" x14ac:dyDescent="0.3">
      <c r="C74" s="22"/>
      <c r="D74" s="9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35"/>
    </row>
    <row r="75" spans="1:22" s="5" customFormat="1" ht="16.5" thickBot="1" x14ac:dyDescent="0.3">
      <c r="A75" s="36" t="s">
        <v>111</v>
      </c>
      <c r="B75" s="37"/>
      <c r="C75" s="92">
        <f>+C67+C73</f>
        <v>840</v>
      </c>
      <c r="D75" s="103">
        <f t="shared" ref="D75:Q75" si="33">D67+D73</f>
        <v>70</v>
      </c>
      <c r="E75" s="92">
        <f t="shared" si="33"/>
        <v>70</v>
      </c>
      <c r="F75" s="92">
        <f t="shared" si="33"/>
        <v>70</v>
      </c>
      <c r="G75" s="92">
        <f t="shared" si="33"/>
        <v>70</v>
      </c>
      <c r="H75" s="92">
        <f t="shared" si="33"/>
        <v>70</v>
      </c>
      <c r="I75" s="92">
        <f t="shared" si="33"/>
        <v>70</v>
      </c>
      <c r="J75" s="92">
        <f t="shared" si="33"/>
        <v>70</v>
      </c>
      <c r="K75" s="92">
        <f t="shared" si="33"/>
        <v>70</v>
      </c>
      <c r="L75" s="92">
        <f t="shared" si="33"/>
        <v>70</v>
      </c>
      <c r="M75" s="92">
        <f t="shared" si="33"/>
        <v>70</v>
      </c>
      <c r="N75" s="92">
        <f t="shared" si="33"/>
        <v>70</v>
      </c>
      <c r="O75" s="92">
        <f t="shared" si="33"/>
        <v>70</v>
      </c>
      <c r="P75" s="92"/>
      <c r="Q75" s="38">
        <f t="shared" si="33"/>
        <v>1038.7179487179383</v>
      </c>
      <c r="R75" s="16">
        <f t="shared" si="30"/>
        <v>198.71794871793827</v>
      </c>
      <c r="S75" s="28">
        <f>Q75-C75</f>
        <v>198.71794871793827</v>
      </c>
      <c r="T75" s="21"/>
    </row>
    <row r="76" spans="1:22" s="5" customFormat="1" ht="16.5" thickTop="1" x14ac:dyDescent="0.25">
      <c r="A76" s="36"/>
      <c r="B76" s="37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16"/>
      <c r="S76" s="40"/>
      <c r="T76" s="21"/>
    </row>
    <row r="77" spans="1:22" s="5" customFormat="1" ht="18.75" x14ac:dyDescent="0.3">
      <c r="A77" s="36"/>
      <c r="B77" s="3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1" t="s">
        <v>112</v>
      </c>
      <c r="P77" s="41"/>
      <c r="Q77" s="42">
        <f>Q75-C75</f>
        <v>198.71794871793827</v>
      </c>
      <c r="R77" s="16"/>
      <c r="S77" s="40"/>
      <c r="T77" s="21"/>
    </row>
    <row r="78" spans="1:22" s="5" customFormat="1" ht="15.75" x14ac:dyDescent="0.25">
      <c r="A78" s="36"/>
      <c r="B78" s="3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6"/>
      <c r="S78" s="40"/>
      <c r="T78" s="21"/>
    </row>
    <row r="79" spans="1:22" s="5" customFormat="1" ht="18" x14ac:dyDescent="0.4">
      <c r="A79" s="36"/>
      <c r="B79" s="3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3" t="s">
        <v>113</v>
      </c>
      <c r="R79" s="16" t="s">
        <v>114</v>
      </c>
      <c r="S79" s="44"/>
      <c r="T79" s="21"/>
    </row>
    <row r="80" spans="1:22" s="5" customFormat="1" ht="15.75" x14ac:dyDescent="0.25">
      <c r="A80" s="36"/>
      <c r="B80" s="37"/>
      <c r="C80" s="39"/>
      <c r="D80" s="39"/>
      <c r="E80" s="39"/>
      <c r="G80" s="39"/>
      <c r="H80" s="39"/>
      <c r="I80" s="39"/>
      <c r="J80" s="39"/>
      <c r="K80" s="39"/>
      <c r="L80" s="39"/>
      <c r="M80" s="39"/>
      <c r="N80" s="39"/>
      <c r="O80" s="45" t="s">
        <v>115</v>
      </c>
      <c r="P80" s="45"/>
      <c r="Q80" s="46">
        <f>S11</f>
        <v>0</v>
      </c>
      <c r="R80" s="47" t="s">
        <v>116</v>
      </c>
      <c r="S80" s="44"/>
      <c r="T80" s="21"/>
    </row>
    <row r="81" spans="1:21" s="5" customFormat="1" ht="15.75" x14ac:dyDescent="0.25">
      <c r="A81" s="36"/>
      <c r="B81" s="37"/>
      <c r="C81" s="39"/>
      <c r="D81" s="39"/>
      <c r="E81" s="39"/>
      <c r="G81" s="39"/>
      <c r="H81" s="39"/>
      <c r="I81" s="39"/>
      <c r="J81" s="39"/>
      <c r="K81" s="39"/>
      <c r="L81" s="39"/>
      <c r="M81" s="39"/>
      <c r="N81" s="39"/>
      <c r="O81" s="45" t="s">
        <v>117</v>
      </c>
      <c r="P81" s="45"/>
      <c r="Q81" s="48">
        <f>-S17</f>
        <v>0</v>
      </c>
      <c r="R81" s="47" t="s">
        <v>118</v>
      </c>
      <c r="S81" s="44"/>
      <c r="T81" s="21"/>
    </row>
    <row r="82" spans="1:21" s="5" customFormat="1" ht="15.75" x14ac:dyDescent="0.25">
      <c r="A82" s="36"/>
      <c r="B82" s="37"/>
      <c r="C82" s="39"/>
      <c r="D82" s="39"/>
      <c r="E82" s="39"/>
      <c r="G82" s="39"/>
      <c r="H82" s="39"/>
      <c r="I82" s="39"/>
      <c r="J82" s="39"/>
      <c r="K82" s="39"/>
      <c r="L82" s="39"/>
      <c r="M82" s="39"/>
      <c r="N82" s="39"/>
      <c r="O82" s="45" t="s">
        <v>119</v>
      </c>
      <c r="P82" s="45"/>
      <c r="Q82" s="48">
        <f>-S49</f>
        <v>198.71794871795282</v>
      </c>
      <c r="R82" s="47" t="s">
        <v>120</v>
      </c>
      <c r="S82" s="44"/>
      <c r="T82" s="21"/>
    </row>
    <row r="83" spans="1:21" s="5" customFormat="1" ht="15.75" x14ac:dyDescent="0.25">
      <c r="A83" s="36"/>
      <c r="B83" s="37"/>
      <c r="C83" s="39"/>
      <c r="D83" s="39"/>
      <c r="E83" s="39"/>
      <c r="G83" s="39"/>
      <c r="H83" s="39"/>
      <c r="I83" s="39"/>
      <c r="J83" s="39"/>
      <c r="K83" s="39"/>
      <c r="L83" s="39"/>
      <c r="M83" s="39"/>
      <c r="N83" s="39"/>
      <c r="O83" s="45" t="s">
        <v>121</v>
      </c>
      <c r="P83" s="45"/>
      <c r="Q83" s="48">
        <f>-S18</f>
        <v>0</v>
      </c>
      <c r="R83" s="47" t="s">
        <v>35</v>
      </c>
      <c r="S83" s="44"/>
      <c r="T83" s="21"/>
    </row>
    <row r="84" spans="1:21" s="5" customFormat="1" ht="15.75" x14ac:dyDescent="0.25">
      <c r="A84" s="36"/>
      <c r="B84" s="37"/>
      <c r="C84" s="39"/>
      <c r="D84" s="39"/>
      <c r="E84" s="39"/>
      <c r="G84" s="39"/>
      <c r="H84" s="39"/>
      <c r="I84" s="39"/>
      <c r="J84" s="39"/>
      <c r="K84" s="39"/>
      <c r="L84" s="39"/>
      <c r="O84" s="45" t="s">
        <v>122</v>
      </c>
      <c r="P84" s="45"/>
      <c r="Q84" s="48">
        <f>-S19</f>
        <v>0</v>
      </c>
      <c r="R84" s="47" t="s">
        <v>37</v>
      </c>
      <c r="T84" s="49"/>
    </row>
    <row r="85" spans="1:21" s="5" customFormat="1" ht="15.75" x14ac:dyDescent="0.25">
      <c r="A85" s="36"/>
      <c r="B85" s="37"/>
      <c r="C85" s="39"/>
      <c r="D85" s="39"/>
      <c r="E85" s="39"/>
      <c r="G85" s="39"/>
      <c r="H85" s="39"/>
      <c r="I85" s="39"/>
      <c r="J85" s="39"/>
      <c r="K85" s="39"/>
      <c r="L85" s="39"/>
      <c r="M85" s="39"/>
      <c r="N85" s="39"/>
      <c r="O85" s="45" t="s">
        <v>123</v>
      </c>
      <c r="P85" s="45"/>
      <c r="Q85" s="48">
        <f>-S38</f>
        <v>0</v>
      </c>
      <c r="R85" s="47" t="s">
        <v>124</v>
      </c>
      <c r="S85" s="44"/>
      <c r="T85" s="21"/>
    </row>
    <row r="86" spans="1:21" s="5" customFormat="1" ht="15.75" x14ac:dyDescent="0.25">
      <c r="A86" s="36"/>
      <c r="B86" s="37"/>
      <c r="C86" s="39"/>
      <c r="D86" s="39"/>
      <c r="E86" s="39"/>
      <c r="G86" s="39"/>
      <c r="H86" s="39"/>
      <c r="I86" s="39"/>
      <c r="J86" s="39"/>
      <c r="K86" s="39"/>
      <c r="L86" s="39"/>
      <c r="M86" s="39"/>
      <c r="N86" s="39"/>
      <c r="O86" s="45" t="s">
        <v>125</v>
      </c>
      <c r="P86" s="45"/>
      <c r="Q86" s="48">
        <f>-S63</f>
        <v>0</v>
      </c>
      <c r="R86" s="47" t="s">
        <v>126</v>
      </c>
      <c r="S86" s="44"/>
      <c r="T86" s="21"/>
    </row>
    <row r="87" spans="1:21" s="5" customFormat="1" ht="15.75" x14ac:dyDescent="0.25">
      <c r="A87" s="36"/>
      <c r="B87" s="3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50"/>
      <c r="P87" s="50"/>
      <c r="Q87" s="51">
        <f>SUM(Q80:Q86)</f>
        <v>198.71794871795282</v>
      </c>
      <c r="R87" s="18"/>
      <c r="S87" s="44"/>
      <c r="T87" s="21"/>
    </row>
    <row r="88" spans="1:21" s="5" customFormat="1" ht="15.75" x14ac:dyDescent="0.25">
      <c r="A88" s="36"/>
      <c r="B88" s="37"/>
      <c r="C88" s="39"/>
      <c r="D88" s="39"/>
      <c r="E88" s="39"/>
      <c r="F88" s="39"/>
      <c r="G88" s="39"/>
      <c r="H88" s="39"/>
      <c r="I88" s="39"/>
      <c r="J88" s="39"/>
      <c r="K88" s="52"/>
      <c r="L88" s="39"/>
      <c r="M88" s="39"/>
      <c r="N88" s="39"/>
      <c r="O88" s="50"/>
      <c r="P88" s="50"/>
      <c r="Q88" s="48"/>
      <c r="R88" s="16"/>
      <c r="S88" s="44"/>
      <c r="T88" s="21"/>
    </row>
    <row r="89" spans="1:21" s="5" customFormat="1" ht="15.75" x14ac:dyDescent="0.25">
      <c r="A89" s="36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50"/>
      <c r="P89" s="50"/>
      <c r="Q89" s="39"/>
      <c r="R89" s="16"/>
      <c r="S89" s="53"/>
    </row>
    <row r="90" spans="1:21" s="55" customFormat="1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4"/>
    </row>
    <row r="91" spans="1:21" s="55" customFormat="1" ht="15" x14ac:dyDescent="0.25">
      <c r="B91" s="56" t="s">
        <v>127</v>
      </c>
      <c r="C91" s="57" t="s">
        <v>128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S91" s="5"/>
      <c r="T91" s="54"/>
    </row>
    <row r="92" spans="1:21" s="55" customFormat="1" ht="15" x14ac:dyDescent="0.25">
      <c r="B92" s="59"/>
      <c r="C92" s="60" t="s">
        <v>129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S92" s="5"/>
      <c r="T92" s="54"/>
    </row>
    <row r="93" spans="1:21" s="55" customFormat="1" ht="15" x14ac:dyDescent="0.25">
      <c r="B93" s="59"/>
      <c r="C93" s="60" t="s">
        <v>130</v>
      </c>
      <c r="D93" s="62">
        <f t="shared" ref="D93:Q93" si="34">SUM(D91:D92)</f>
        <v>0</v>
      </c>
      <c r="E93" s="62">
        <f t="shared" si="34"/>
        <v>0</v>
      </c>
      <c r="F93" s="62">
        <f t="shared" si="34"/>
        <v>0</v>
      </c>
      <c r="G93" s="62">
        <f t="shared" si="34"/>
        <v>0</v>
      </c>
      <c r="H93" s="62">
        <f t="shared" si="34"/>
        <v>0</v>
      </c>
      <c r="I93" s="62">
        <f t="shared" si="34"/>
        <v>0</v>
      </c>
      <c r="J93" s="62">
        <f t="shared" si="34"/>
        <v>0</v>
      </c>
      <c r="K93" s="62">
        <f t="shared" si="34"/>
        <v>0</v>
      </c>
      <c r="L93" s="62">
        <f t="shared" si="34"/>
        <v>0</v>
      </c>
      <c r="M93" s="62">
        <f t="shared" si="34"/>
        <v>0</v>
      </c>
      <c r="N93" s="62">
        <f t="shared" si="34"/>
        <v>0</v>
      </c>
      <c r="O93" s="62">
        <f t="shared" si="34"/>
        <v>0</v>
      </c>
      <c r="P93" s="62"/>
      <c r="Q93" s="62">
        <f t="shared" si="34"/>
        <v>0</v>
      </c>
      <c r="S93" s="63"/>
      <c r="T93" s="63"/>
    </row>
    <row r="94" spans="1:21" s="15" customFormat="1" ht="15" x14ac:dyDescent="0.25">
      <c r="A94" s="55"/>
      <c r="B94" s="64" t="s">
        <v>131</v>
      </c>
      <c r="C94" s="65"/>
      <c r="D94" s="66" t="e">
        <f t="shared" ref="D94:Q94" si="35">D91/$Q$91</f>
        <v>#DIV/0!</v>
      </c>
      <c r="E94" s="66" t="e">
        <f t="shared" si="35"/>
        <v>#DIV/0!</v>
      </c>
      <c r="F94" s="66" t="e">
        <f t="shared" si="35"/>
        <v>#DIV/0!</v>
      </c>
      <c r="G94" s="66" t="e">
        <f t="shared" si="35"/>
        <v>#DIV/0!</v>
      </c>
      <c r="H94" s="66" t="e">
        <f t="shared" si="35"/>
        <v>#DIV/0!</v>
      </c>
      <c r="I94" s="66" t="e">
        <f t="shared" si="35"/>
        <v>#DIV/0!</v>
      </c>
      <c r="J94" s="66" t="e">
        <f t="shared" si="35"/>
        <v>#DIV/0!</v>
      </c>
      <c r="K94" s="66" t="e">
        <f t="shared" si="35"/>
        <v>#DIV/0!</v>
      </c>
      <c r="L94" s="66" t="e">
        <f t="shared" si="35"/>
        <v>#DIV/0!</v>
      </c>
      <c r="M94" s="66" t="e">
        <f t="shared" si="35"/>
        <v>#DIV/0!</v>
      </c>
      <c r="N94" s="66" t="e">
        <f t="shared" si="35"/>
        <v>#DIV/0!</v>
      </c>
      <c r="O94" s="66" t="e">
        <f t="shared" si="35"/>
        <v>#DIV/0!</v>
      </c>
      <c r="P94" s="66"/>
      <c r="Q94" s="66" t="e">
        <f t="shared" si="35"/>
        <v>#DIV/0!</v>
      </c>
      <c r="R94" s="55"/>
      <c r="S94" s="67"/>
      <c r="T94" s="67"/>
      <c r="U94" s="68"/>
    </row>
    <row r="95" spans="1:21" s="15" customFormat="1" ht="14.25" customHeight="1" x14ac:dyDescent="0.25">
      <c r="B95" s="69"/>
      <c r="C95" s="70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S95" s="67"/>
      <c r="T95" s="67"/>
    </row>
    <row r="96" spans="1:21" s="5" customFormat="1" ht="14.1" customHeight="1" x14ac:dyDescent="0.25">
      <c r="A96" s="15"/>
      <c r="B96" s="72" t="s">
        <v>131</v>
      </c>
      <c r="C96" s="73"/>
      <c r="D96" s="74" t="e">
        <f t="shared" ref="D96:Q96" si="36">D94</f>
        <v>#DIV/0!</v>
      </c>
      <c r="E96" s="74" t="e">
        <f t="shared" si="36"/>
        <v>#DIV/0!</v>
      </c>
      <c r="F96" s="74" t="e">
        <f t="shared" si="36"/>
        <v>#DIV/0!</v>
      </c>
      <c r="G96" s="74" t="e">
        <f t="shared" si="36"/>
        <v>#DIV/0!</v>
      </c>
      <c r="H96" s="74" t="e">
        <f t="shared" si="36"/>
        <v>#DIV/0!</v>
      </c>
      <c r="I96" s="74" t="e">
        <f t="shared" si="36"/>
        <v>#DIV/0!</v>
      </c>
      <c r="J96" s="74" t="e">
        <f t="shared" si="36"/>
        <v>#DIV/0!</v>
      </c>
      <c r="K96" s="74" t="e">
        <f t="shared" si="36"/>
        <v>#DIV/0!</v>
      </c>
      <c r="L96" s="74" t="e">
        <f t="shared" si="36"/>
        <v>#DIV/0!</v>
      </c>
      <c r="M96" s="74" t="e">
        <f t="shared" si="36"/>
        <v>#DIV/0!</v>
      </c>
      <c r="N96" s="74" t="e">
        <f t="shared" si="36"/>
        <v>#DIV/0!</v>
      </c>
      <c r="O96" s="74" t="e">
        <f t="shared" si="36"/>
        <v>#DIV/0!</v>
      </c>
      <c r="P96" s="74"/>
      <c r="Q96" s="74" t="e">
        <f t="shared" si="36"/>
        <v>#DIV/0!</v>
      </c>
      <c r="R96" s="15"/>
      <c r="S96" s="67"/>
      <c r="T96" s="67"/>
    </row>
    <row r="97" spans="1:20" s="5" customFormat="1" ht="14.1" customHeight="1" x14ac:dyDescent="0.25">
      <c r="B97" s="75"/>
      <c r="D97" s="5">
        <v>2</v>
      </c>
      <c r="E97" s="5">
        <v>2</v>
      </c>
      <c r="F97" s="5">
        <v>2</v>
      </c>
      <c r="G97" s="5">
        <v>3</v>
      </c>
      <c r="H97" s="5">
        <v>2</v>
      </c>
      <c r="I97" s="5">
        <v>2</v>
      </c>
      <c r="J97" s="5">
        <v>2</v>
      </c>
      <c r="K97" s="5">
        <v>2</v>
      </c>
      <c r="L97" s="5">
        <v>2</v>
      </c>
      <c r="M97" s="5">
        <v>3</v>
      </c>
      <c r="N97" s="5">
        <v>2</v>
      </c>
      <c r="O97" s="5">
        <v>2</v>
      </c>
      <c r="Q97" s="5">
        <v>2</v>
      </c>
      <c r="R97" s="5" t="s">
        <v>132</v>
      </c>
      <c r="S97" s="67"/>
      <c r="T97" s="67"/>
    </row>
    <row r="98" spans="1:20" s="15" customFormat="1" ht="14.25" customHeight="1" x14ac:dyDescent="0.25">
      <c r="A98" s="5"/>
      <c r="B98" s="75"/>
      <c r="C98" s="5"/>
      <c r="D98" s="31" t="s">
        <v>133</v>
      </c>
      <c r="E98" s="31" t="s">
        <v>134</v>
      </c>
      <c r="F98" s="31" t="s">
        <v>135</v>
      </c>
      <c r="G98" s="31" t="s">
        <v>136</v>
      </c>
      <c r="H98" s="31" t="s">
        <v>137</v>
      </c>
      <c r="I98" s="31" t="s">
        <v>138</v>
      </c>
      <c r="J98" s="31" t="s">
        <v>139</v>
      </c>
      <c r="K98" s="31" t="s">
        <v>140</v>
      </c>
      <c r="L98" s="31" t="s">
        <v>141</v>
      </c>
      <c r="M98" s="31" t="s">
        <v>142</v>
      </c>
      <c r="N98" s="31" t="s">
        <v>143</v>
      </c>
      <c r="O98" s="31" t="s">
        <v>144</v>
      </c>
      <c r="P98" s="31"/>
      <c r="Q98" s="31" t="s">
        <v>144</v>
      </c>
      <c r="R98" s="5"/>
      <c r="S98" s="67"/>
      <c r="T98" s="67"/>
    </row>
    <row r="99" spans="1:20" s="15" customFormat="1" ht="15" x14ac:dyDescent="0.25">
      <c r="B99" s="76" t="s">
        <v>145</v>
      </c>
      <c r="C99" s="60" t="s">
        <v>146</v>
      </c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S99" s="67"/>
      <c r="T99" s="67"/>
    </row>
    <row r="100" spans="1:20" s="15" customFormat="1" ht="15" x14ac:dyDescent="0.25">
      <c r="B100" s="76"/>
      <c r="C100" s="60" t="s">
        <v>129</v>
      </c>
      <c r="D100" s="78" t="e">
        <f ca="1">D102-D101</f>
        <v>#DIV/0!</v>
      </c>
      <c r="E100" s="78" t="e">
        <f t="shared" ref="E100:Q100" ca="1" si="37">E102-E101</f>
        <v>#DIV/0!</v>
      </c>
      <c r="F100" s="78" t="e">
        <f t="shared" ca="1" si="37"/>
        <v>#DIV/0!</v>
      </c>
      <c r="G100" s="78" t="e">
        <f t="shared" ca="1" si="37"/>
        <v>#DIV/0!</v>
      </c>
      <c r="H100" s="78" t="e">
        <f t="shared" ca="1" si="37"/>
        <v>#DIV/0!</v>
      </c>
      <c r="I100" s="78" t="e">
        <f t="shared" ca="1" si="37"/>
        <v>#DIV/0!</v>
      </c>
      <c r="J100" s="78" t="e">
        <f t="shared" ca="1" si="37"/>
        <v>#DIV/0!</v>
      </c>
      <c r="K100" s="78" t="e">
        <f t="shared" ca="1" si="37"/>
        <v>#DIV/0!</v>
      </c>
      <c r="L100" s="78" t="e">
        <f t="shared" ca="1" si="37"/>
        <v>#DIV/0!</v>
      </c>
      <c r="M100" s="78" t="e">
        <f t="shared" ca="1" si="37"/>
        <v>#DIV/0!</v>
      </c>
      <c r="N100" s="78" t="e">
        <f t="shared" ca="1" si="37"/>
        <v>#DIV/0!</v>
      </c>
      <c r="O100" s="78" t="e">
        <f t="shared" ca="1" si="37"/>
        <v>#DIV/0!</v>
      </c>
      <c r="P100" s="78"/>
      <c r="Q100" s="78" t="e">
        <f t="shared" ca="1" si="37"/>
        <v>#DIV/0!</v>
      </c>
      <c r="S100" s="67"/>
      <c r="T100" s="67"/>
    </row>
    <row r="101" spans="1:20" s="15" customFormat="1" ht="15" x14ac:dyDescent="0.25">
      <c r="B101" s="76"/>
      <c r="C101" s="60" t="s">
        <v>128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S101" s="79"/>
      <c r="T101" s="67"/>
    </row>
    <row r="102" spans="1:20" s="15" customFormat="1" ht="15" x14ac:dyDescent="0.25">
      <c r="B102" s="76"/>
      <c r="C102" s="60" t="s">
        <v>147</v>
      </c>
      <c r="D102" s="62" t="e">
        <f t="shared" ref="D102:Q102" ca="1" si="38">D96*$Q$102</f>
        <v>#DIV/0!</v>
      </c>
      <c r="E102" s="62" t="e">
        <f t="shared" ca="1" si="38"/>
        <v>#DIV/0!</v>
      </c>
      <c r="F102" s="62" t="e">
        <f t="shared" ca="1" si="38"/>
        <v>#DIV/0!</v>
      </c>
      <c r="G102" s="62" t="e">
        <f t="shared" ca="1" si="38"/>
        <v>#DIV/0!</v>
      </c>
      <c r="H102" s="62" t="e">
        <f t="shared" ca="1" si="38"/>
        <v>#DIV/0!</v>
      </c>
      <c r="I102" s="62" t="e">
        <f t="shared" ca="1" si="38"/>
        <v>#DIV/0!</v>
      </c>
      <c r="J102" s="62" t="e">
        <f t="shared" ca="1" si="38"/>
        <v>#DIV/0!</v>
      </c>
      <c r="K102" s="62" t="e">
        <f t="shared" ca="1" si="38"/>
        <v>#DIV/0!</v>
      </c>
      <c r="L102" s="62" t="e">
        <f t="shared" ca="1" si="38"/>
        <v>#DIV/0!</v>
      </c>
      <c r="M102" s="62" t="e">
        <f t="shared" ca="1" si="38"/>
        <v>#DIV/0!</v>
      </c>
      <c r="N102" s="62" t="e">
        <f t="shared" ca="1" si="38"/>
        <v>#DIV/0!</v>
      </c>
      <c r="O102" s="62" t="e">
        <f t="shared" ca="1" si="38"/>
        <v>#DIV/0!</v>
      </c>
      <c r="P102" s="62"/>
      <c r="Q102" s="62" t="e">
        <f t="shared" ca="1" si="38"/>
        <v>#DIV/0!</v>
      </c>
      <c r="S102" s="67"/>
      <c r="T102" s="67"/>
    </row>
    <row r="103" spans="1:20" s="15" customFormat="1" ht="15" x14ac:dyDescent="0.25">
      <c r="B103" s="76"/>
      <c r="C103" s="60" t="s">
        <v>148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S103" s="67"/>
      <c r="T103" s="67"/>
    </row>
    <row r="104" spans="1:20" s="15" customFormat="1" ht="15" x14ac:dyDescent="0.25">
      <c r="B104" s="76"/>
      <c r="C104" s="60" t="s">
        <v>149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S104" s="67"/>
      <c r="T104" s="67"/>
    </row>
    <row r="105" spans="1:20" s="5" customFormat="1" ht="15" x14ac:dyDescent="0.25">
      <c r="A105" s="15"/>
      <c r="B105" s="81"/>
      <c r="C105" s="65" t="s">
        <v>150</v>
      </c>
      <c r="D105" s="82" t="e">
        <f ca="1">SUM(D102:D104)</f>
        <v>#DIV/0!</v>
      </c>
      <c r="E105" s="82" t="e">
        <f t="shared" ref="E105:Q105" ca="1" si="39">SUM(E102:E104)</f>
        <v>#DIV/0!</v>
      </c>
      <c r="F105" s="82" t="e">
        <f t="shared" ca="1" si="39"/>
        <v>#DIV/0!</v>
      </c>
      <c r="G105" s="82" t="e">
        <f t="shared" ca="1" si="39"/>
        <v>#DIV/0!</v>
      </c>
      <c r="H105" s="82" t="e">
        <f t="shared" ca="1" si="39"/>
        <v>#DIV/0!</v>
      </c>
      <c r="I105" s="82" t="e">
        <f t="shared" ca="1" si="39"/>
        <v>#DIV/0!</v>
      </c>
      <c r="J105" s="82" t="e">
        <f t="shared" ca="1" si="39"/>
        <v>#DIV/0!</v>
      </c>
      <c r="K105" s="82" t="e">
        <f t="shared" ca="1" si="39"/>
        <v>#DIV/0!</v>
      </c>
      <c r="L105" s="82" t="e">
        <f t="shared" ca="1" si="39"/>
        <v>#DIV/0!</v>
      </c>
      <c r="M105" s="82" t="e">
        <f t="shared" ca="1" si="39"/>
        <v>#DIV/0!</v>
      </c>
      <c r="N105" s="82" t="e">
        <f t="shared" ca="1" si="39"/>
        <v>#DIV/0!</v>
      </c>
      <c r="O105" s="82" t="e">
        <f t="shared" ca="1" si="39"/>
        <v>#DIV/0!</v>
      </c>
      <c r="P105" s="82"/>
      <c r="Q105" s="82" t="e">
        <f t="shared" ca="1" si="39"/>
        <v>#DIV/0!</v>
      </c>
      <c r="R105" s="15"/>
    </row>
    <row r="106" spans="1:20" s="5" customFormat="1" ht="15" x14ac:dyDescent="0.25">
      <c r="B106" s="83" t="s">
        <v>151</v>
      </c>
    </row>
    <row r="107" spans="1:20" s="5" customFormat="1" ht="15" x14ac:dyDescent="0.25">
      <c r="B107" s="83" t="s">
        <v>152</v>
      </c>
    </row>
    <row r="108" spans="1:20" s="5" customFormat="1" ht="15" x14ac:dyDescent="0.25">
      <c r="B108" s="83" t="s">
        <v>153</v>
      </c>
    </row>
    <row r="109" spans="1:20" s="5" customFormat="1" ht="15" x14ac:dyDescent="0.25">
      <c r="B109" s="83" t="s">
        <v>154</v>
      </c>
    </row>
    <row r="110" spans="1:20" s="5" customFormat="1" ht="15" x14ac:dyDescent="0.25"/>
    <row r="111" spans="1:20" s="5" customFormat="1" ht="15" x14ac:dyDescent="0.25"/>
    <row r="112" spans="1:20" s="5" customFormat="1" ht="15" x14ac:dyDescent="0.25">
      <c r="B112" s="5" t="s">
        <v>155</v>
      </c>
      <c r="C112" s="84">
        <f>C14</f>
        <v>149500</v>
      </c>
    </row>
    <row r="113" spans="1:18" s="5" customFormat="1" ht="15" x14ac:dyDescent="0.25">
      <c r="B113" s="5" t="s">
        <v>156</v>
      </c>
      <c r="C113" s="84">
        <f>C73</f>
        <v>119000</v>
      </c>
    </row>
    <row r="114" spans="1:18" s="5" customFormat="1" ht="15.75" thickBot="1" x14ac:dyDescent="0.3">
      <c r="C114" s="85">
        <f>SUM(C112:C113)</f>
        <v>268500</v>
      </c>
    </row>
    <row r="115" spans="1:18" s="5" customFormat="1" ht="15" x14ac:dyDescent="0.25">
      <c r="B115" s="5" t="s">
        <v>157</v>
      </c>
      <c r="C115" s="84">
        <f>C20</f>
        <v>168000</v>
      </c>
      <c r="D115" s="86">
        <f>C115/C114</f>
        <v>0.62569832402234637</v>
      </c>
    </row>
    <row r="116" spans="1:18" s="5" customFormat="1" ht="15" x14ac:dyDescent="0.25">
      <c r="B116" s="5" t="s">
        <v>40</v>
      </c>
      <c r="C116" s="84">
        <f>C65</f>
        <v>99660</v>
      </c>
      <c r="D116" s="86">
        <f>C116/C114</f>
        <v>0.37117318435754187</v>
      </c>
    </row>
    <row r="117" spans="1:18" s="5" customFormat="1" ht="15" x14ac:dyDescent="0.25"/>
    <row r="118" spans="1:18" s="5" customFormat="1" ht="15" x14ac:dyDescent="0.25"/>
    <row r="119" spans="1:18" s="5" customFormat="1" ht="15" x14ac:dyDescent="0.25"/>
    <row r="120" spans="1:18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C121" s="1">
        <f>4187/12</f>
        <v>348.91666666666669</v>
      </c>
    </row>
    <row r="122" spans="1:18" x14ac:dyDescent="0.2">
      <c r="A122" s="1" t="s">
        <v>158</v>
      </c>
    </row>
    <row r="123" spans="1:18" x14ac:dyDescent="0.2">
      <c r="A123" s="1" t="s">
        <v>159</v>
      </c>
      <c r="B123" s="87">
        <v>-24532.858821659269</v>
      </c>
    </row>
    <row r="124" spans="1:18" x14ac:dyDescent="0.2">
      <c r="A124" s="1" t="s">
        <v>160</v>
      </c>
      <c r="B124" s="87">
        <v>-10132.494053306495</v>
      </c>
    </row>
    <row r="125" spans="1:18" x14ac:dyDescent="0.2">
      <c r="A125" s="1" t="s">
        <v>161</v>
      </c>
      <c r="B125" s="87">
        <v>-19801.664928541672</v>
      </c>
    </row>
    <row r="126" spans="1:18" x14ac:dyDescent="0.2">
      <c r="B126" s="87">
        <f>SUM(B123:B125)</f>
        <v>-54467.017803507435</v>
      </c>
    </row>
    <row r="128" spans="1:18" x14ac:dyDescent="0.2">
      <c r="B128" s="88">
        <f>B126-Q75</f>
        <v>-55505.735752225373</v>
      </c>
    </row>
  </sheetData>
  <mergeCells count="1">
    <mergeCell ref="T4:T5"/>
  </mergeCells>
  <conditionalFormatting sqref="S6:S21 S23:S73 S79:S83 T84 S85:S88">
    <cfRule type="cellIs" dxfId="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0F7B-502F-4D91-8860-6EA2EB705693}">
  <sheetPr>
    <tabColor rgb="FF92D050"/>
    <pageSetUpPr fitToPage="1"/>
  </sheetPr>
  <dimension ref="A1:T125"/>
  <sheetViews>
    <sheetView showGridLines="0" tabSelected="1" zoomScaleNormal="100" workbookViewId="0">
      <pane ySplit="5" topLeftCell="A24" activePane="bottomLeft" state="frozen"/>
      <selection activeCell="A48" activeCellId="1" sqref="A44:XFD45 A48:XFD48"/>
      <selection pane="bottomLeft" activeCell="A3" sqref="A3:Q75"/>
    </sheetView>
  </sheetViews>
  <sheetFormatPr defaultColWidth="9.140625" defaultRowHeight="12.75" x14ac:dyDescent="0.2"/>
  <cols>
    <col min="1" max="1" width="34.7109375" style="1" customWidth="1"/>
    <col min="2" max="2" width="8.42578125" style="1" hidden="1" customWidth="1"/>
    <col min="3" max="3" width="12.7109375" style="1" customWidth="1"/>
    <col min="4" max="8" width="12.7109375" style="1" hidden="1" customWidth="1"/>
    <col min="9" max="15" width="12.7109375" style="1" customWidth="1"/>
    <col min="16" max="16" width="16.7109375" style="1" customWidth="1"/>
    <col min="17" max="18" width="12.85546875" style="1" customWidth="1"/>
    <col min="19" max="19" width="12.7109375" style="1" customWidth="1"/>
    <col min="20" max="20" width="10.140625" style="1" bestFit="1" customWidth="1"/>
    <col min="21" max="16384" width="9.140625" style="1"/>
  </cols>
  <sheetData>
    <row r="1" spans="1:18" ht="12.75" hidden="1" customHeight="1" x14ac:dyDescent="0.2">
      <c r="A1" s="1" t="str">
        <f ca="1">CELL("filename",A1)</f>
        <v>https://qmow.sharepoint.com/sites/Operations/Webinars/2024/Budgeting/Part 3/[MOW Budget Example Part 3.xlsx]QCF Budget Revised</v>
      </c>
    </row>
    <row r="2" spans="1:18" hidden="1" x14ac:dyDescent="0.2">
      <c r="A2" s="2" t="str">
        <f ca="1">RIGHT(A1,LEN(A1)-SEARCH("]",A1))</f>
        <v>QCF Budget Revised</v>
      </c>
    </row>
    <row r="3" spans="1:18" ht="26.25" x14ac:dyDescent="0.4">
      <c r="A3" s="3" t="s">
        <v>0</v>
      </c>
      <c r="B3" s="3"/>
      <c r="C3" s="3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"/>
      <c r="Q3" s="4"/>
    </row>
    <row r="4" spans="1:18" s="5" customFormat="1" ht="36" hidden="1" customHeight="1" x14ac:dyDescent="0.25">
      <c r="D4" s="5">
        <v>2</v>
      </c>
      <c r="E4" s="5">
        <v>2.5</v>
      </c>
      <c r="F4" s="5">
        <v>2</v>
      </c>
      <c r="G4" s="5">
        <v>2</v>
      </c>
      <c r="H4" s="5">
        <v>2.5</v>
      </c>
      <c r="I4" s="5">
        <v>2</v>
      </c>
      <c r="J4" s="5">
        <v>2</v>
      </c>
      <c r="K4" s="5">
        <v>2</v>
      </c>
      <c r="L4" s="5">
        <v>2.5</v>
      </c>
      <c r="M4" s="5">
        <v>2</v>
      </c>
      <c r="N4" s="5">
        <v>2.5</v>
      </c>
      <c r="O4" s="5">
        <v>2</v>
      </c>
      <c r="P4" s="5">
        <v>2</v>
      </c>
      <c r="Q4" s="6" t="s">
        <v>2</v>
      </c>
      <c r="R4" s="248"/>
    </row>
    <row r="5" spans="1:18" s="5" customFormat="1" ht="45" x14ac:dyDescent="0.25">
      <c r="A5" s="7"/>
      <c r="B5" s="7"/>
      <c r="C5" s="8" t="s">
        <v>228</v>
      </c>
      <c r="D5" s="95" t="s">
        <v>4</v>
      </c>
      <c r="E5" s="9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  <c r="K5" s="93" t="s">
        <v>11</v>
      </c>
      <c r="L5" s="93" t="s">
        <v>12</v>
      </c>
      <c r="M5" s="93" t="s">
        <v>13</v>
      </c>
      <c r="N5" s="93" t="s">
        <v>14</v>
      </c>
      <c r="O5" s="93" t="s">
        <v>15</v>
      </c>
      <c r="P5" s="259" t="s">
        <v>227</v>
      </c>
      <c r="Q5" s="10" t="s">
        <v>18</v>
      </c>
      <c r="R5" s="248"/>
    </row>
    <row r="6" spans="1:18" s="5" customFormat="1" ht="15" hidden="1" x14ac:dyDescent="0.25">
      <c r="D6" s="75"/>
      <c r="Q6" s="11"/>
    </row>
    <row r="7" spans="1:18" s="5" customFormat="1" ht="15" hidden="1" x14ac:dyDescent="0.25">
      <c r="A7" s="12" t="s">
        <v>19</v>
      </c>
      <c r="D7" s="75"/>
      <c r="Q7" s="11"/>
    </row>
    <row r="8" spans="1:18" s="5" customFormat="1" ht="15" hidden="1" x14ac:dyDescent="0.25">
      <c r="A8" s="13" t="s">
        <v>20</v>
      </c>
      <c r="B8" s="14" t="s">
        <v>21</v>
      </c>
      <c r="C8" s="15">
        <v>126500</v>
      </c>
      <c r="D8" s="96">
        <f>$C8/12</f>
        <v>10541.666666666666</v>
      </c>
      <c r="E8" s="15">
        <f t="shared" ref="E8:O8" si="0">$C8/12</f>
        <v>10541.666666666666</v>
      </c>
      <c r="F8" s="15">
        <f t="shared" si="0"/>
        <v>10541.666666666666</v>
      </c>
      <c r="G8" s="15">
        <f t="shared" si="0"/>
        <v>10541.666666666666</v>
      </c>
      <c r="H8" s="15">
        <f t="shared" si="0"/>
        <v>10541.666666666666</v>
      </c>
      <c r="I8" s="15">
        <f t="shared" si="0"/>
        <v>10541.666666666666</v>
      </c>
      <c r="J8" s="15">
        <f t="shared" si="0"/>
        <v>10541.666666666666</v>
      </c>
      <c r="K8" s="15">
        <f t="shared" si="0"/>
        <v>10541.666666666666</v>
      </c>
      <c r="L8" s="15">
        <f t="shared" si="0"/>
        <v>10541.666666666666</v>
      </c>
      <c r="M8" s="15">
        <f t="shared" si="0"/>
        <v>10541.666666666666</v>
      </c>
      <c r="N8" s="15">
        <f t="shared" si="0"/>
        <v>10541.666666666666</v>
      </c>
      <c r="O8" s="15">
        <f t="shared" si="0"/>
        <v>10541.666666666666</v>
      </c>
      <c r="P8" s="15">
        <f>SUM(D8:O8)</f>
        <v>126500.00000000001</v>
      </c>
      <c r="Q8" s="17">
        <f>P8-C8</f>
        <v>0</v>
      </c>
      <c r="R8" s="18"/>
    </row>
    <row r="9" spans="1:18" s="5" customFormat="1" ht="15" hidden="1" x14ac:dyDescent="0.25">
      <c r="A9" s="13" t="s">
        <v>22</v>
      </c>
      <c r="B9" s="14" t="s">
        <v>23</v>
      </c>
      <c r="C9" s="15">
        <v>11000</v>
      </c>
      <c r="D9" s="96">
        <f t="shared" ref="D9:O13" si="1">$C9/12</f>
        <v>916.66666666666663</v>
      </c>
      <c r="E9" s="15">
        <f t="shared" si="1"/>
        <v>916.66666666666663</v>
      </c>
      <c r="F9" s="15">
        <f t="shared" si="1"/>
        <v>916.66666666666663</v>
      </c>
      <c r="G9" s="15">
        <f t="shared" si="1"/>
        <v>916.66666666666663</v>
      </c>
      <c r="H9" s="15">
        <f t="shared" si="1"/>
        <v>916.66666666666663</v>
      </c>
      <c r="I9" s="15">
        <f t="shared" si="1"/>
        <v>916.66666666666663</v>
      </c>
      <c r="J9" s="15">
        <f t="shared" si="1"/>
        <v>916.66666666666663</v>
      </c>
      <c r="K9" s="15">
        <f t="shared" si="1"/>
        <v>916.66666666666663</v>
      </c>
      <c r="L9" s="15">
        <f t="shared" si="1"/>
        <v>916.66666666666663</v>
      </c>
      <c r="M9" s="15">
        <f t="shared" si="1"/>
        <v>916.66666666666663</v>
      </c>
      <c r="N9" s="15">
        <f t="shared" si="1"/>
        <v>916.66666666666663</v>
      </c>
      <c r="O9" s="15">
        <f t="shared" si="1"/>
        <v>916.66666666666663</v>
      </c>
      <c r="P9" s="15">
        <f>SUM(D9:O9)</f>
        <v>10999.999999999998</v>
      </c>
      <c r="Q9" s="17">
        <f>P9-C9</f>
        <v>0</v>
      </c>
      <c r="R9" s="18"/>
    </row>
    <row r="10" spans="1:18" s="5" customFormat="1" ht="15" hidden="1" x14ac:dyDescent="0.25">
      <c r="A10" s="13" t="s">
        <v>24</v>
      </c>
      <c r="B10" s="14" t="s">
        <v>25</v>
      </c>
      <c r="C10" s="15">
        <v>7000</v>
      </c>
      <c r="D10" s="96">
        <f t="shared" si="1"/>
        <v>583.33333333333337</v>
      </c>
      <c r="E10" s="15">
        <f t="shared" si="1"/>
        <v>583.33333333333337</v>
      </c>
      <c r="F10" s="15">
        <f t="shared" si="1"/>
        <v>583.33333333333337</v>
      </c>
      <c r="G10" s="15">
        <f t="shared" si="1"/>
        <v>583.33333333333337</v>
      </c>
      <c r="H10" s="15">
        <f t="shared" si="1"/>
        <v>583.33333333333337</v>
      </c>
      <c r="I10" s="15">
        <f t="shared" si="1"/>
        <v>583.33333333333337</v>
      </c>
      <c r="J10" s="15">
        <f t="shared" si="1"/>
        <v>583.33333333333337</v>
      </c>
      <c r="K10" s="15">
        <f t="shared" si="1"/>
        <v>583.33333333333337</v>
      </c>
      <c r="L10" s="15">
        <f t="shared" si="1"/>
        <v>583.33333333333337</v>
      </c>
      <c r="M10" s="15">
        <f t="shared" si="1"/>
        <v>583.33333333333337</v>
      </c>
      <c r="N10" s="15">
        <f t="shared" si="1"/>
        <v>583.33333333333337</v>
      </c>
      <c r="O10" s="15">
        <f t="shared" si="1"/>
        <v>583.33333333333337</v>
      </c>
      <c r="P10" s="15">
        <f>SUM(D10:O10)</f>
        <v>6999.9999999999991</v>
      </c>
      <c r="Q10" s="17">
        <f>P10-C10</f>
        <v>0</v>
      </c>
      <c r="R10" s="18"/>
    </row>
    <row r="11" spans="1:18" s="5" customFormat="1" ht="15" hidden="1" x14ac:dyDescent="0.25">
      <c r="A11" s="13" t="s">
        <v>26</v>
      </c>
      <c r="B11" s="14" t="s">
        <v>27</v>
      </c>
      <c r="C11" s="15">
        <v>3000</v>
      </c>
      <c r="D11" s="96">
        <f t="shared" si="1"/>
        <v>250</v>
      </c>
      <c r="E11" s="15">
        <f t="shared" si="1"/>
        <v>250</v>
      </c>
      <c r="F11" s="15">
        <f t="shared" si="1"/>
        <v>250</v>
      </c>
      <c r="G11" s="15">
        <f t="shared" si="1"/>
        <v>250</v>
      </c>
      <c r="H11" s="15">
        <f t="shared" si="1"/>
        <v>250</v>
      </c>
      <c r="I11" s="15">
        <f t="shared" si="1"/>
        <v>250</v>
      </c>
      <c r="J11" s="15">
        <f t="shared" si="1"/>
        <v>250</v>
      </c>
      <c r="K11" s="15">
        <f t="shared" si="1"/>
        <v>250</v>
      </c>
      <c r="L11" s="15">
        <f t="shared" si="1"/>
        <v>250</v>
      </c>
      <c r="M11" s="15">
        <f t="shared" si="1"/>
        <v>250</v>
      </c>
      <c r="N11" s="15">
        <f t="shared" si="1"/>
        <v>250</v>
      </c>
      <c r="O11" s="15">
        <f t="shared" si="1"/>
        <v>250</v>
      </c>
      <c r="P11" s="15">
        <f>SUM(D11:O11)</f>
        <v>3000</v>
      </c>
      <c r="Q11" s="17">
        <f>P11-C11</f>
        <v>0</v>
      </c>
      <c r="R11" s="18"/>
    </row>
    <row r="12" spans="1:18" s="5" customFormat="1" ht="15" hidden="1" x14ac:dyDescent="0.25">
      <c r="A12" s="13" t="s">
        <v>28</v>
      </c>
      <c r="B12" s="14" t="s">
        <v>29</v>
      </c>
      <c r="C12" s="15">
        <v>2000</v>
      </c>
      <c r="D12" s="96">
        <f t="shared" si="1"/>
        <v>166.66666666666666</v>
      </c>
      <c r="E12" s="15">
        <f t="shared" si="1"/>
        <v>166.66666666666666</v>
      </c>
      <c r="F12" s="15">
        <f t="shared" si="1"/>
        <v>166.66666666666666</v>
      </c>
      <c r="G12" s="15">
        <f t="shared" si="1"/>
        <v>166.66666666666666</v>
      </c>
      <c r="H12" s="15">
        <f t="shared" si="1"/>
        <v>166.66666666666666</v>
      </c>
      <c r="I12" s="15">
        <f t="shared" si="1"/>
        <v>166.66666666666666</v>
      </c>
      <c r="J12" s="15">
        <f t="shared" si="1"/>
        <v>166.66666666666666</v>
      </c>
      <c r="K12" s="15">
        <f t="shared" si="1"/>
        <v>166.66666666666666</v>
      </c>
      <c r="L12" s="15">
        <f t="shared" si="1"/>
        <v>166.66666666666666</v>
      </c>
      <c r="M12" s="15">
        <f t="shared" si="1"/>
        <v>166.66666666666666</v>
      </c>
      <c r="N12" s="15">
        <f t="shared" si="1"/>
        <v>166.66666666666666</v>
      </c>
      <c r="O12" s="15">
        <f t="shared" si="1"/>
        <v>166.66666666666666</v>
      </c>
      <c r="P12" s="15">
        <f>SUM(D12:O12)</f>
        <v>2000.0000000000002</v>
      </c>
      <c r="Q12" s="17">
        <f>P12-C12</f>
        <v>0</v>
      </c>
      <c r="R12" s="18"/>
    </row>
    <row r="13" spans="1:18" s="5" customFormat="1" ht="15" hidden="1" x14ac:dyDescent="0.25">
      <c r="A13" s="13" t="s">
        <v>30</v>
      </c>
      <c r="B13" s="14" t="s">
        <v>31</v>
      </c>
      <c r="C13" s="15">
        <v>0</v>
      </c>
      <c r="D13" s="96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>SUM(D13:O13)</f>
        <v>0</v>
      </c>
      <c r="Q13" s="17">
        <f>P13-C13</f>
        <v>0</v>
      </c>
      <c r="R13" s="18"/>
    </row>
    <row r="14" spans="1:18" s="5" customFormat="1" ht="15" hidden="1" x14ac:dyDescent="0.25">
      <c r="A14" s="89"/>
      <c r="C14" s="19">
        <f t="shared" ref="C14:O14" si="2">SUM(C8:C13)</f>
        <v>149500</v>
      </c>
      <c r="D14" s="97">
        <f t="shared" si="2"/>
        <v>12458.333333333332</v>
      </c>
      <c r="E14" s="19">
        <f t="shared" si="2"/>
        <v>12458.333333333332</v>
      </c>
      <c r="F14" s="19">
        <f t="shared" si="2"/>
        <v>12458.333333333332</v>
      </c>
      <c r="G14" s="19">
        <f t="shared" si="2"/>
        <v>12458.333333333332</v>
      </c>
      <c r="H14" s="19">
        <f t="shared" si="2"/>
        <v>12458.333333333332</v>
      </c>
      <c r="I14" s="19">
        <f t="shared" si="2"/>
        <v>12458.333333333332</v>
      </c>
      <c r="J14" s="19">
        <f t="shared" si="2"/>
        <v>12458.333333333332</v>
      </c>
      <c r="K14" s="19">
        <f t="shared" si="2"/>
        <v>12458.333333333332</v>
      </c>
      <c r="L14" s="19">
        <f t="shared" si="2"/>
        <v>12458.333333333332</v>
      </c>
      <c r="M14" s="19">
        <f t="shared" si="2"/>
        <v>12458.333333333332</v>
      </c>
      <c r="N14" s="19">
        <f t="shared" si="2"/>
        <v>12458.333333333332</v>
      </c>
      <c r="O14" s="19">
        <f t="shared" si="2"/>
        <v>12458.333333333332</v>
      </c>
      <c r="P14" s="19">
        <f t="shared" ref="P14" si="3">SUM(P8:P13)</f>
        <v>149500</v>
      </c>
      <c r="Q14" s="20">
        <f>P14-C14</f>
        <v>0</v>
      </c>
      <c r="R14" s="21"/>
    </row>
    <row r="15" spans="1:18" s="5" customFormat="1" ht="15" hidden="1" x14ac:dyDescent="0.25">
      <c r="C15" s="22"/>
      <c r="D15" s="9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1"/>
    </row>
    <row r="16" spans="1:18" s="5" customFormat="1" ht="15" hidden="1" x14ac:dyDescent="0.25">
      <c r="A16" s="12" t="s">
        <v>32</v>
      </c>
      <c r="C16" s="22"/>
      <c r="D16" s="9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1"/>
      <c r="R16" s="23"/>
    </row>
    <row r="17" spans="1:18" s="5" customFormat="1" ht="15" hidden="1" x14ac:dyDescent="0.25">
      <c r="A17" s="13" t="s">
        <v>33</v>
      </c>
      <c r="B17" s="14" t="s">
        <v>34</v>
      </c>
      <c r="C17" s="15">
        <v>160000</v>
      </c>
      <c r="D17" s="96">
        <f t="shared" ref="D17:O19" si="4">$C17/12</f>
        <v>13333.333333333334</v>
      </c>
      <c r="E17" s="15">
        <f t="shared" si="4"/>
        <v>13333.333333333334</v>
      </c>
      <c r="F17" s="15">
        <f t="shared" si="4"/>
        <v>13333.333333333334</v>
      </c>
      <c r="G17" s="15">
        <f t="shared" si="4"/>
        <v>13333.333333333334</v>
      </c>
      <c r="H17" s="15">
        <f t="shared" si="4"/>
        <v>13333.333333333334</v>
      </c>
      <c r="I17" s="15">
        <f t="shared" si="4"/>
        <v>13333.333333333334</v>
      </c>
      <c r="J17" s="15">
        <f t="shared" si="4"/>
        <v>13333.333333333334</v>
      </c>
      <c r="K17" s="15">
        <f t="shared" si="4"/>
        <v>13333.333333333334</v>
      </c>
      <c r="L17" s="15">
        <f t="shared" si="4"/>
        <v>13333.333333333334</v>
      </c>
      <c r="M17" s="15">
        <f t="shared" si="4"/>
        <v>13333.333333333334</v>
      </c>
      <c r="N17" s="15">
        <f t="shared" si="4"/>
        <v>13333.333333333334</v>
      </c>
      <c r="O17" s="15">
        <f t="shared" si="4"/>
        <v>13333.333333333334</v>
      </c>
      <c r="P17" s="24">
        <f>SUM(D17:O17)</f>
        <v>160000</v>
      </c>
      <c r="Q17" s="11">
        <f>P17-C17</f>
        <v>0</v>
      </c>
      <c r="R17" s="18"/>
    </row>
    <row r="18" spans="1:18" s="5" customFormat="1" ht="15" hidden="1" x14ac:dyDescent="0.25">
      <c r="A18" s="13" t="s">
        <v>35</v>
      </c>
      <c r="B18" s="14" t="s">
        <v>36</v>
      </c>
      <c r="C18" s="15">
        <v>5400</v>
      </c>
      <c r="D18" s="96">
        <f t="shared" si="4"/>
        <v>450</v>
      </c>
      <c r="E18" s="15">
        <f t="shared" si="4"/>
        <v>450</v>
      </c>
      <c r="F18" s="15">
        <f t="shared" si="4"/>
        <v>450</v>
      </c>
      <c r="G18" s="15">
        <f t="shared" si="4"/>
        <v>450</v>
      </c>
      <c r="H18" s="15">
        <f t="shared" si="4"/>
        <v>450</v>
      </c>
      <c r="I18" s="15">
        <f t="shared" si="4"/>
        <v>450</v>
      </c>
      <c r="J18" s="15">
        <f t="shared" si="4"/>
        <v>450</v>
      </c>
      <c r="K18" s="15">
        <f t="shared" si="4"/>
        <v>450</v>
      </c>
      <c r="L18" s="15">
        <f t="shared" si="4"/>
        <v>450</v>
      </c>
      <c r="M18" s="15">
        <f t="shared" si="4"/>
        <v>450</v>
      </c>
      <c r="N18" s="15">
        <f t="shared" si="4"/>
        <v>450</v>
      </c>
      <c r="O18" s="15">
        <f t="shared" si="4"/>
        <v>450</v>
      </c>
      <c r="P18" s="24">
        <f>SUM(D18:O18)</f>
        <v>5400</v>
      </c>
      <c r="Q18" s="11">
        <f>P18-C18</f>
        <v>0</v>
      </c>
      <c r="R18" s="18"/>
    </row>
    <row r="19" spans="1:18" s="5" customFormat="1" ht="15" hidden="1" x14ac:dyDescent="0.25">
      <c r="A19" s="13" t="s">
        <v>37</v>
      </c>
      <c r="B19" s="14" t="s">
        <v>38</v>
      </c>
      <c r="C19" s="15">
        <v>2600</v>
      </c>
      <c r="D19" s="96">
        <f t="shared" si="4"/>
        <v>216.66666666666666</v>
      </c>
      <c r="E19" s="15">
        <f t="shared" si="4"/>
        <v>216.66666666666666</v>
      </c>
      <c r="F19" s="15">
        <f t="shared" si="4"/>
        <v>216.66666666666666</v>
      </c>
      <c r="G19" s="15">
        <f t="shared" si="4"/>
        <v>216.66666666666666</v>
      </c>
      <c r="H19" s="15">
        <f t="shared" si="4"/>
        <v>216.66666666666666</v>
      </c>
      <c r="I19" s="15">
        <f t="shared" si="4"/>
        <v>216.66666666666666</v>
      </c>
      <c r="J19" s="15">
        <f t="shared" si="4"/>
        <v>216.66666666666666</v>
      </c>
      <c r="K19" s="15">
        <f t="shared" si="4"/>
        <v>216.66666666666666</v>
      </c>
      <c r="L19" s="15">
        <f t="shared" si="4"/>
        <v>216.66666666666666</v>
      </c>
      <c r="M19" s="15">
        <f t="shared" si="4"/>
        <v>216.66666666666666</v>
      </c>
      <c r="N19" s="15">
        <f t="shared" si="4"/>
        <v>216.66666666666666</v>
      </c>
      <c r="O19" s="15">
        <f t="shared" si="4"/>
        <v>216.66666666666666</v>
      </c>
      <c r="P19" s="24">
        <f>SUM(D19:O19)</f>
        <v>2600</v>
      </c>
      <c r="Q19" s="11">
        <f>P19-C19</f>
        <v>0</v>
      </c>
      <c r="R19" s="18"/>
    </row>
    <row r="20" spans="1:18" s="5" customFormat="1" ht="15" hidden="1" x14ac:dyDescent="0.25">
      <c r="A20" s="12"/>
      <c r="C20" s="19">
        <f t="shared" ref="C20:P20" si="5">SUM(C17:C19)</f>
        <v>168000</v>
      </c>
      <c r="D20" s="97">
        <f t="shared" si="5"/>
        <v>14000</v>
      </c>
      <c r="E20" s="19">
        <f t="shared" si="5"/>
        <v>14000</v>
      </c>
      <c r="F20" s="19">
        <f t="shared" si="5"/>
        <v>14000</v>
      </c>
      <c r="G20" s="19">
        <f t="shared" si="5"/>
        <v>14000</v>
      </c>
      <c r="H20" s="19">
        <f t="shared" si="5"/>
        <v>14000</v>
      </c>
      <c r="I20" s="19">
        <f t="shared" si="5"/>
        <v>14000</v>
      </c>
      <c r="J20" s="19">
        <f t="shared" si="5"/>
        <v>14000</v>
      </c>
      <c r="K20" s="19">
        <f t="shared" si="5"/>
        <v>14000</v>
      </c>
      <c r="L20" s="19">
        <f t="shared" si="5"/>
        <v>14000</v>
      </c>
      <c r="M20" s="19">
        <f t="shared" si="5"/>
        <v>14000</v>
      </c>
      <c r="N20" s="19">
        <f t="shared" si="5"/>
        <v>14000</v>
      </c>
      <c r="O20" s="19">
        <f t="shared" si="5"/>
        <v>14000</v>
      </c>
      <c r="P20" s="19">
        <f t="shared" si="5"/>
        <v>168000</v>
      </c>
      <c r="Q20" s="25">
        <f>P20-C20</f>
        <v>0</v>
      </c>
      <c r="R20" s="21"/>
    </row>
    <row r="21" spans="1:18" s="5" customFormat="1" ht="15" hidden="1" x14ac:dyDescent="0.25">
      <c r="A21" s="12"/>
      <c r="C21" s="22"/>
      <c r="D21" s="98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1"/>
      <c r="R21" s="18"/>
    </row>
    <row r="22" spans="1:18" s="5" customFormat="1" ht="15" hidden="1" x14ac:dyDescent="0.25">
      <c r="A22" s="90" t="s">
        <v>39</v>
      </c>
      <c r="C22" s="27">
        <f>+C14-C20</f>
        <v>-18500</v>
      </c>
      <c r="D22" s="99">
        <f t="shared" ref="D22:P22" si="6">D14-D20</f>
        <v>-1541.6666666666679</v>
      </c>
      <c r="E22" s="27">
        <f t="shared" si="6"/>
        <v>-1541.6666666666679</v>
      </c>
      <c r="F22" s="27">
        <f t="shared" si="6"/>
        <v>-1541.6666666666679</v>
      </c>
      <c r="G22" s="27">
        <f t="shared" si="6"/>
        <v>-1541.6666666666679</v>
      </c>
      <c r="H22" s="27">
        <f t="shared" si="6"/>
        <v>-1541.6666666666679</v>
      </c>
      <c r="I22" s="27">
        <f t="shared" si="6"/>
        <v>-1541.6666666666679</v>
      </c>
      <c r="J22" s="27">
        <f t="shared" si="6"/>
        <v>-1541.6666666666679</v>
      </c>
      <c r="K22" s="27">
        <f t="shared" si="6"/>
        <v>-1541.6666666666679</v>
      </c>
      <c r="L22" s="27">
        <f t="shared" si="6"/>
        <v>-1541.6666666666679</v>
      </c>
      <c r="M22" s="27">
        <f t="shared" si="6"/>
        <v>-1541.6666666666679</v>
      </c>
      <c r="N22" s="27">
        <f t="shared" si="6"/>
        <v>-1541.6666666666679</v>
      </c>
      <c r="O22" s="27">
        <f t="shared" si="6"/>
        <v>-1541.6666666666679</v>
      </c>
      <c r="P22" s="27">
        <f t="shared" si="6"/>
        <v>-18500</v>
      </c>
      <c r="Q22" s="28">
        <f>P22-C22</f>
        <v>0</v>
      </c>
      <c r="R22" s="21"/>
    </row>
    <row r="23" spans="1:18" s="5" customFormat="1" ht="15" hidden="1" x14ac:dyDescent="0.25">
      <c r="A23" s="12"/>
      <c r="C23" s="22"/>
      <c r="D23" s="9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11"/>
    </row>
    <row r="24" spans="1:18" s="5" customFormat="1" ht="15" x14ac:dyDescent="0.25">
      <c r="A24" s="12" t="s">
        <v>40</v>
      </c>
      <c r="C24" s="22"/>
      <c r="D24" s="9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1"/>
      <c r="R24" s="23"/>
    </row>
    <row r="25" spans="1:18" s="5" customFormat="1" ht="15" x14ac:dyDescent="0.25">
      <c r="A25" s="13" t="s">
        <v>41</v>
      </c>
      <c r="B25" s="14" t="s">
        <v>42</v>
      </c>
      <c r="C25" s="15">
        <v>2000</v>
      </c>
      <c r="D25" s="96">
        <f t="shared" ref="D25:O37" si="7">$C25/12</f>
        <v>166.66666666666666</v>
      </c>
      <c r="E25" s="15">
        <f t="shared" si="7"/>
        <v>166.66666666666666</v>
      </c>
      <c r="F25" s="15">
        <f t="shared" si="7"/>
        <v>166.66666666666666</v>
      </c>
      <c r="G25" s="15">
        <f t="shared" si="7"/>
        <v>166.66666666666666</v>
      </c>
      <c r="H25" s="15">
        <f t="shared" si="7"/>
        <v>166.66666666666666</v>
      </c>
      <c r="I25" s="15">
        <f t="shared" si="7"/>
        <v>166.66666666666666</v>
      </c>
      <c r="J25" s="15">
        <f t="shared" si="7"/>
        <v>166.66666666666666</v>
      </c>
      <c r="K25" s="15">
        <f t="shared" si="7"/>
        <v>166.66666666666666</v>
      </c>
      <c r="L25" s="15">
        <f t="shared" si="7"/>
        <v>166.66666666666666</v>
      </c>
      <c r="M25" s="15">
        <f t="shared" si="7"/>
        <v>166.66666666666666</v>
      </c>
      <c r="N25" s="15">
        <f t="shared" si="7"/>
        <v>166.66666666666666</v>
      </c>
      <c r="O25" s="15">
        <f t="shared" si="7"/>
        <v>166.66666666666666</v>
      </c>
      <c r="P25" s="15">
        <f>SUM(D25:O25)</f>
        <v>2000.0000000000002</v>
      </c>
      <c r="Q25" s="11">
        <f>P25-C25</f>
        <v>0</v>
      </c>
      <c r="R25" s="18"/>
    </row>
    <row r="26" spans="1:18" s="5" customFormat="1" ht="15" x14ac:dyDescent="0.25">
      <c r="A26" s="13" t="s">
        <v>43</v>
      </c>
      <c r="B26" s="14" t="s">
        <v>44</v>
      </c>
      <c r="C26" s="15">
        <v>1200</v>
      </c>
      <c r="D26" s="96">
        <f t="shared" si="7"/>
        <v>100</v>
      </c>
      <c r="E26" s="15">
        <f t="shared" si="7"/>
        <v>100</v>
      </c>
      <c r="F26" s="15">
        <f t="shared" si="7"/>
        <v>100</v>
      </c>
      <c r="G26" s="15">
        <f t="shared" si="7"/>
        <v>100</v>
      </c>
      <c r="H26" s="15">
        <f t="shared" si="7"/>
        <v>100</v>
      </c>
      <c r="I26" s="15">
        <f t="shared" si="7"/>
        <v>100</v>
      </c>
      <c r="J26" s="15">
        <f t="shared" si="7"/>
        <v>100</v>
      </c>
      <c r="K26" s="15">
        <f t="shared" si="7"/>
        <v>100</v>
      </c>
      <c r="L26" s="15">
        <f t="shared" si="7"/>
        <v>100</v>
      </c>
      <c r="M26" s="15">
        <f t="shared" si="7"/>
        <v>100</v>
      </c>
      <c r="N26" s="15">
        <f t="shared" si="7"/>
        <v>100</v>
      </c>
      <c r="O26" s="15">
        <f t="shared" si="7"/>
        <v>100</v>
      </c>
      <c r="P26" s="15">
        <f>SUM(D26:O26)</f>
        <v>1200</v>
      </c>
      <c r="Q26" s="11">
        <f>P26-C26</f>
        <v>0</v>
      </c>
      <c r="R26" s="18"/>
    </row>
    <row r="27" spans="1:18" s="5" customFormat="1" ht="15" x14ac:dyDescent="0.25">
      <c r="A27" s="13" t="s">
        <v>45</v>
      </c>
      <c r="B27" s="14" t="s">
        <v>46</v>
      </c>
      <c r="C27" s="15">
        <v>100</v>
      </c>
      <c r="D27" s="96">
        <f t="shared" si="7"/>
        <v>8.3333333333333339</v>
      </c>
      <c r="E27" s="15">
        <f t="shared" si="7"/>
        <v>8.3333333333333339</v>
      </c>
      <c r="F27" s="15">
        <f t="shared" si="7"/>
        <v>8.3333333333333339</v>
      </c>
      <c r="G27" s="15">
        <f t="shared" si="7"/>
        <v>8.3333333333333339</v>
      </c>
      <c r="H27" s="15">
        <f t="shared" si="7"/>
        <v>8.3333333333333339</v>
      </c>
      <c r="I27" s="15">
        <f t="shared" si="7"/>
        <v>8.3333333333333339</v>
      </c>
      <c r="J27" s="15">
        <f t="shared" si="7"/>
        <v>8.3333333333333339</v>
      </c>
      <c r="K27" s="15">
        <f t="shared" si="7"/>
        <v>8.3333333333333339</v>
      </c>
      <c r="L27" s="15">
        <f t="shared" si="7"/>
        <v>8.3333333333333339</v>
      </c>
      <c r="M27" s="15">
        <f t="shared" si="7"/>
        <v>8.3333333333333339</v>
      </c>
      <c r="N27" s="15">
        <f t="shared" si="7"/>
        <v>8.3333333333333339</v>
      </c>
      <c r="O27" s="15">
        <f t="shared" si="7"/>
        <v>8.3333333333333339</v>
      </c>
      <c r="P27" s="15">
        <f>SUM(D27:O27)</f>
        <v>99.999999999999986</v>
      </c>
      <c r="Q27" s="11">
        <f>P27-C27</f>
        <v>0</v>
      </c>
      <c r="R27" s="18"/>
    </row>
    <row r="28" spans="1:18" s="5" customFormat="1" ht="15" x14ac:dyDescent="0.25">
      <c r="A28" s="13" t="s">
        <v>47</v>
      </c>
      <c r="B28" s="14" t="s">
        <v>48</v>
      </c>
      <c r="C28" s="15">
        <v>1250</v>
      </c>
      <c r="D28" s="96">
        <f t="shared" si="7"/>
        <v>104.16666666666667</v>
      </c>
      <c r="E28" s="15">
        <f t="shared" si="7"/>
        <v>104.16666666666667</v>
      </c>
      <c r="F28" s="15">
        <f t="shared" si="7"/>
        <v>104.16666666666667</v>
      </c>
      <c r="G28" s="15">
        <f t="shared" si="7"/>
        <v>104.16666666666667</v>
      </c>
      <c r="H28" s="15">
        <f t="shared" si="7"/>
        <v>104.16666666666667</v>
      </c>
      <c r="I28" s="15">
        <f t="shared" si="7"/>
        <v>104.16666666666667</v>
      </c>
      <c r="J28" s="15">
        <f t="shared" si="7"/>
        <v>104.16666666666667</v>
      </c>
      <c r="K28" s="15">
        <f t="shared" si="7"/>
        <v>104.16666666666667</v>
      </c>
      <c r="L28" s="15">
        <f t="shared" si="7"/>
        <v>104.16666666666667</v>
      </c>
      <c r="M28" s="15">
        <f t="shared" si="7"/>
        <v>104.16666666666667</v>
      </c>
      <c r="N28" s="15">
        <f t="shared" si="7"/>
        <v>104.16666666666667</v>
      </c>
      <c r="O28" s="15">
        <f t="shared" si="7"/>
        <v>104.16666666666667</v>
      </c>
      <c r="P28" s="15">
        <f>SUM(D28:O28)</f>
        <v>1250</v>
      </c>
      <c r="Q28" s="11">
        <f>P28-C28</f>
        <v>0</v>
      </c>
      <c r="R28" s="18"/>
    </row>
    <row r="29" spans="1:18" s="5" customFormat="1" ht="15" x14ac:dyDescent="0.25">
      <c r="A29" s="250" t="s">
        <v>49</v>
      </c>
      <c r="B29" s="251" t="s">
        <v>50</v>
      </c>
      <c r="C29" s="252">
        <v>2420</v>
      </c>
      <c r="D29" s="257">
        <f t="shared" si="7"/>
        <v>201.66666666666666</v>
      </c>
      <c r="E29" s="24">
        <f t="shared" si="7"/>
        <v>201.66666666666666</v>
      </c>
      <c r="F29" s="24">
        <f t="shared" si="7"/>
        <v>201.66666666666666</v>
      </c>
      <c r="G29" s="24">
        <f t="shared" si="7"/>
        <v>201.66666666666666</v>
      </c>
      <c r="H29" s="24">
        <f t="shared" si="7"/>
        <v>201.66666666666666</v>
      </c>
      <c r="I29" s="24">
        <f t="shared" si="7"/>
        <v>201.66666666666666</v>
      </c>
      <c r="J29" s="252">
        <v>400</v>
      </c>
      <c r="K29" s="252">
        <v>400</v>
      </c>
      <c r="L29" s="252">
        <v>400</v>
      </c>
      <c r="M29" s="252">
        <v>400</v>
      </c>
      <c r="N29" s="252">
        <v>400</v>
      </c>
      <c r="O29" s="252">
        <v>400</v>
      </c>
      <c r="P29" s="252">
        <f>SUM(D29:O29)</f>
        <v>3610</v>
      </c>
      <c r="Q29" s="253">
        <f>P29-C29</f>
        <v>1190</v>
      </c>
      <c r="R29" s="18"/>
    </row>
    <row r="30" spans="1:18" s="5" customFormat="1" ht="15" x14ac:dyDescent="0.25">
      <c r="A30" s="13" t="s">
        <v>51</v>
      </c>
      <c r="B30" s="14" t="s">
        <v>52</v>
      </c>
      <c r="C30" s="15">
        <v>3500</v>
      </c>
      <c r="D30" s="96">
        <f t="shared" si="7"/>
        <v>291.66666666666669</v>
      </c>
      <c r="E30" s="15">
        <f t="shared" si="7"/>
        <v>291.66666666666669</v>
      </c>
      <c r="F30" s="15">
        <f t="shared" si="7"/>
        <v>291.66666666666669</v>
      </c>
      <c r="G30" s="15">
        <f t="shared" si="7"/>
        <v>291.66666666666669</v>
      </c>
      <c r="H30" s="15">
        <f t="shared" si="7"/>
        <v>291.66666666666669</v>
      </c>
      <c r="I30" s="15">
        <f t="shared" si="7"/>
        <v>291.66666666666669</v>
      </c>
      <c r="J30" s="15">
        <f t="shared" si="7"/>
        <v>291.66666666666669</v>
      </c>
      <c r="K30" s="15">
        <f t="shared" si="7"/>
        <v>291.66666666666669</v>
      </c>
      <c r="L30" s="15">
        <f t="shared" si="7"/>
        <v>291.66666666666669</v>
      </c>
      <c r="M30" s="15">
        <f t="shared" si="7"/>
        <v>291.66666666666669</v>
      </c>
      <c r="N30" s="15">
        <f t="shared" si="7"/>
        <v>291.66666666666669</v>
      </c>
      <c r="O30" s="15">
        <f t="shared" si="7"/>
        <v>291.66666666666669</v>
      </c>
      <c r="P30" s="15">
        <f>SUM(D30:O30)</f>
        <v>3499.9999999999995</v>
      </c>
      <c r="Q30" s="11">
        <f>P30-C30</f>
        <v>0</v>
      </c>
      <c r="R30" s="18"/>
    </row>
    <row r="31" spans="1:18" s="5" customFormat="1" ht="15" x14ac:dyDescent="0.25">
      <c r="A31" s="250" t="s">
        <v>53</v>
      </c>
      <c r="B31" s="251" t="s">
        <v>54</v>
      </c>
      <c r="C31" s="252">
        <v>1320</v>
      </c>
      <c r="D31" s="257">
        <f t="shared" si="7"/>
        <v>110</v>
      </c>
      <c r="E31" s="24">
        <f t="shared" si="7"/>
        <v>110</v>
      </c>
      <c r="F31" s="24">
        <f t="shared" si="7"/>
        <v>110</v>
      </c>
      <c r="G31" s="24">
        <f t="shared" si="7"/>
        <v>110</v>
      </c>
      <c r="H31" s="24">
        <f t="shared" si="7"/>
        <v>110</v>
      </c>
      <c r="I31" s="24">
        <f t="shared" si="7"/>
        <v>110</v>
      </c>
      <c r="J31" s="252">
        <v>200</v>
      </c>
      <c r="K31" s="252">
        <v>200</v>
      </c>
      <c r="L31" s="252">
        <v>200</v>
      </c>
      <c r="M31" s="252">
        <v>200</v>
      </c>
      <c r="N31" s="252">
        <v>200</v>
      </c>
      <c r="O31" s="252">
        <v>200</v>
      </c>
      <c r="P31" s="252">
        <f>SUM(D31:O31)</f>
        <v>1860</v>
      </c>
      <c r="Q31" s="253">
        <f>P31-C31</f>
        <v>540</v>
      </c>
      <c r="R31" s="18"/>
    </row>
    <row r="32" spans="1:18" s="5" customFormat="1" ht="15" x14ac:dyDescent="0.25">
      <c r="A32" s="13" t="s">
        <v>55</v>
      </c>
      <c r="B32" s="14" t="s">
        <v>56</v>
      </c>
      <c r="C32" s="15">
        <v>2200</v>
      </c>
      <c r="D32" s="96">
        <f t="shared" si="7"/>
        <v>183.33333333333334</v>
      </c>
      <c r="E32" s="15">
        <f t="shared" si="7"/>
        <v>183.33333333333334</v>
      </c>
      <c r="F32" s="15">
        <f t="shared" si="7"/>
        <v>183.33333333333334</v>
      </c>
      <c r="G32" s="15">
        <f t="shared" si="7"/>
        <v>183.33333333333334</v>
      </c>
      <c r="H32" s="15">
        <f t="shared" si="7"/>
        <v>183.33333333333334</v>
      </c>
      <c r="I32" s="15">
        <f t="shared" si="7"/>
        <v>183.33333333333334</v>
      </c>
      <c r="J32" s="15">
        <f t="shared" si="7"/>
        <v>183.33333333333334</v>
      </c>
      <c r="K32" s="15">
        <f t="shared" si="7"/>
        <v>183.33333333333334</v>
      </c>
      <c r="L32" s="15">
        <f t="shared" si="7"/>
        <v>183.33333333333334</v>
      </c>
      <c r="M32" s="15">
        <f t="shared" si="7"/>
        <v>183.33333333333334</v>
      </c>
      <c r="N32" s="15">
        <f t="shared" si="7"/>
        <v>183.33333333333334</v>
      </c>
      <c r="O32" s="15">
        <f t="shared" si="7"/>
        <v>183.33333333333334</v>
      </c>
      <c r="P32" s="15">
        <f>SUM(D32:O32)</f>
        <v>2199.9999999999995</v>
      </c>
      <c r="Q32" s="11">
        <f>P32-C32</f>
        <v>0</v>
      </c>
      <c r="R32" s="18"/>
    </row>
    <row r="33" spans="1:18" s="5" customFormat="1" ht="15" x14ac:dyDescent="0.25">
      <c r="A33" s="13" t="s">
        <v>57</v>
      </c>
      <c r="B33" s="14" t="s">
        <v>58</v>
      </c>
      <c r="C33" s="15">
        <v>300</v>
      </c>
      <c r="D33" s="96">
        <f t="shared" si="7"/>
        <v>25</v>
      </c>
      <c r="E33" s="15">
        <f t="shared" si="7"/>
        <v>25</v>
      </c>
      <c r="F33" s="15">
        <f t="shared" si="7"/>
        <v>25</v>
      </c>
      <c r="G33" s="15">
        <f t="shared" si="7"/>
        <v>25</v>
      </c>
      <c r="H33" s="15">
        <f t="shared" si="7"/>
        <v>25</v>
      </c>
      <c r="I33" s="15">
        <f t="shared" si="7"/>
        <v>25</v>
      </c>
      <c r="J33" s="15">
        <f t="shared" si="7"/>
        <v>25</v>
      </c>
      <c r="K33" s="15">
        <f t="shared" si="7"/>
        <v>25</v>
      </c>
      <c r="L33" s="15">
        <f t="shared" si="7"/>
        <v>25</v>
      </c>
      <c r="M33" s="15">
        <f t="shared" si="7"/>
        <v>25</v>
      </c>
      <c r="N33" s="15">
        <f t="shared" si="7"/>
        <v>25</v>
      </c>
      <c r="O33" s="15">
        <f t="shared" si="7"/>
        <v>25</v>
      </c>
      <c r="P33" s="15">
        <f>SUM(D33:O33)</f>
        <v>300</v>
      </c>
      <c r="Q33" s="11">
        <f>P33-C33</f>
        <v>0</v>
      </c>
      <c r="R33" s="18"/>
    </row>
    <row r="34" spans="1:18" s="5" customFormat="1" ht="15" x14ac:dyDescent="0.25">
      <c r="A34" s="250" t="s">
        <v>59</v>
      </c>
      <c r="B34" s="14" t="s">
        <v>60</v>
      </c>
      <c r="C34" s="252">
        <v>500</v>
      </c>
      <c r="D34" s="96">
        <f t="shared" si="7"/>
        <v>41.666666666666664</v>
      </c>
      <c r="E34" s="15">
        <f t="shared" si="7"/>
        <v>41.666666666666664</v>
      </c>
      <c r="F34" s="15">
        <f t="shared" si="7"/>
        <v>41.666666666666664</v>
      </c>
      <c r="G34" s="15">
        <f t="shared" si="7"/>
        <v>41.666666666666664</v>
      </c>
      <c r="H34" s="15">
        <f t="shared" si="7"/>
        <v>41.666666666666664</v>
      </c>
      <c r="I34" s="15">
        <f t="shared" si="7"/>
        <v>41.666666666666664</v>
      </c>
      <c r="J34" s="252">
        <v>200</v>
      </c>
      <c r="K34" s="252">
        <v>200</v>
      </c>
      <c r="L34" s="252">
        <v>200</v>
      </c>
      <c r="M34" s="252">
        <v>200</v>
      </c>
      <c r="N34" s="252">
        <v>200</v>
      </c>
      <c r="O34" s="252">
        <v>200</v>
      </c>
      <c r="P34" s="252">
        <f>SUM(D34:O34)</f>
        <v>1450</v>
      </c>
      <c r="Q34" s="253">
        <f>P34-C34</f>
        <v>950</v>
      </c>
      <c r="R34" s="18"/>
    </row>
    <row r="35" spans="1:18" s="5" customFormat="1" ht="15" x14ac:dyDescent="0.25">
      <c r="A35" s="13" t="s">
        <v>61</v>
      </c>
      <c r="B35" s="14" t="s">
        <v>62</v>
      </c>
      <c r="C35" s="15">
        <v>5000</v>
      </c>
      <c r="D35" s="96">
        <f t="shared" si="7"/>
        <v>416.66666666666669</v>
      </c>
      <c r="E35" s="15">
        <f t="shared" si="7"/>
        <v>416.66666666666669</v>
      </c>
      <c r="F35" s="15">
        <f t="shared" si="7"/>
        <v>416.66666666666669</v>
      </c>
      <c r="G35" s="15">
        <f t="shared" si="7"/>
        <v>416.66666666666669</v>
      </c>
      <c r="H35" s="15">
        <f t="shared" si="7"/>
        <v>416.66666666666669</v>
      </c>
      <c r="I35" s="15">
        <f t="shared" si="7"/>
        <v>416.66666666666669</v>
      </c>
      <c r="J35" s="15">
        <f t="shared" si="7"/>
        <v>416.66666666666669</v>
      </c>
      <c r="K35" s="15">
        <f t="shared" si="7"/>
        <v>416.66666666666669</v>
      </c>
      <c r="L35" s="15">
        <f t="shared" si="7"/>
        <v>416.66666666666669</v>
      </c>
      <c r="M35" s="15">
        <f t="shared" si="7"/>
        <v>416.66666666666669</v>
      </c>
      <c r="N35" s="15">
        <f t="shared" si="7"/>
        <v>416.66666666666669</v>
      </c>
      <c r="O35" s="15">
        <f t="shared" si="7"/>
        <v>416.66666666666669</v>
      </c>
      <c r="P35" s="15">
        <f>SUM(D35:O35)</f>
        <v>5000</v>
      </c>
      <c r="Q35" s="11">
        <f>P35-C35</f>
        <v>0</v>
      </c>
      <c r="R35" s="18"/>
    </row>
    <row r="36" spans="1:18" s="5" customFormat="1" ht="15" x14ac:dyDescent="0.25">
      <c r="A36" s="13" t="s">
        <v>63</v>
      </c>
      <c r="B36" s="14" t="s">
        <v>64</v>
      </c>
      <c r="C36" s="15">
        <v>1200</v>
      </c>
      <c r="D36" s="96">
        <f t="shared" si="7"/>
        <v>100</v>
      </c>
      <c r="E36" s="15">
        <f t="shared" si="7"/>
        <v>100</v>
      </c>
      <c r="F36" s="15">
        <f t="shared" si="7"/>
        <v>100</v>
      </c>
      <c r="G36" s="15">
        <f t="shared" si="7"/>
        <v>100</v>
      </c>
      <c r="H36" s="15">
        <f t="shared" si="7"/>
        <v>100</v>
      </c>
      <c r="I36" s="15">
        <f t="shared" si="7"/>
        <v>100</v>
      </c>
      <c r="J36" s="15">
        <f t="shared" si="7"/>
        <v>100</v>
      </c>
      <c r="K36" s="15">
        <f t="shared" si="7"/>
        <v>100</v>
      </c>
      <c r="L36" s="15">
        <f t="shared" si="7"/>
        <v>100</v>
      </c>
      <c r="M36" s="15">
        <f t="shared" si="7"/>
        <v>100</v>
      </c>
      <c r="N36" s="15">
        <f t="shared" si="7"/>
        <v>100</v>
      </c>
      <c r="O36" s="15">
        <f t="shared" si="7"/>
        <v>100</v>
      </c>
      <c r="P36" s="15">
        <f>SUM(D36:O36)</f>
        <v>1200</v>
      </c>
      <c r="Q36" s="11">
        <f>P36-C36</f>
        <v>0</v>
      </c>
      <c r="R36" s="18"/>
    </row>
    <row r="37" spans="1:18" s="5" customFormat="1" ht="15" x14ac:dyDescent="0.25">
      <c r="A37" s="13" t="s">
        <v>65</v>
      </c>
      <c r="B37" s="14" t="s">
        <v>66</v>
      </c>
      <c r="C37" s="15">
        <f>1800+3120</f>
        <v>4920</v>
      </c>
      <c r="D37" s="96">
        <f t="shared" si="7"/>
        <v>410</v>
      </c>
      <c r="E37" s="15">
        <f t="shared" si="7"/>
        <v>410</v>
      </c>
      <c r="F37" s="15">
        <f t="shared" si="7"/>
        <v>410</v>
      </c>
      <c r="G37" s="15">
        <f t="shared" si="7"/>
        <v>410</v>
      </c>
      <c r="H37" s="15">
        <f t="shared" si="7"/>
        <v>410</v>
      </c>
      <c r="I37" s="15">
        <f t="shared" si="7"/>
        <v>410</v>
      </c>
      <c r="J37" s="15">
        <f t="shared" si="7"/>
        <v>410</v>
      </c>
      <c r="K37" s="15">
        <f t="shared" si="7"/>
        <v>410</v>
      </c>
      <c r="L37" s="15">
        <f t="shared" si="7"/>
        <v>410</v>
      </c>
      <c r="M37" s="15">
        <f t="shared" si="7"/>
        <v>410</v>
      </c>
      <c r="N37" s="15">
        <f t="shared" si="7"/>
        <v>410</v>
      </c>
      <c r="O37" s="15">
        <f t="shared" si="7"/>
        <v>410</v>
      </c>
      <c r="P37" s="15">
        <f>SUM(D37:O37)</f>
        <v>4920</v>
      </c>
      <c r="Q37" s="11">
        <f>P37-C37</f>
        <v>0</v>
      </c>
      <c r="R37" s="18"/>
    </row>
    <row r="38" spans="1:18" s="5" customFormat="1" ht="15" x14ac:dyDescent="0.25">
      <c r="A38" s="12"/>
      <c r="C38" s="19">
        <f t="shared" ref="C38:O38" si="8">SUM(C25:C37)</f>
        <v>25910</v>
      </c>
      <c r="D38" s="97">
        <f t="shared" si="8"/>
        <v>2159.166666666667</v>
      </c>
      <c r="E38" s="19">
        <f t="shared" si="8"/>
        <v>2159.166666666667</v>
      </c>
      <c r="F38" s="19">
        <f t="shared" si="8"/>
        <v>2159.166666666667</v>
      </c>
      <c r="G38" s="19">
        <f t="shared" si="8"/>
        <v>2159.166666666667</v>
      </c>
      <c r="H38" s="19">
        <f t="shared" si="8"/>
        <v>2159.166666666667</v>
      </c>
      <c r="I38" s="19">
        <f t="shared" si="8"/>
        <v>2159.166666666667</v>
      </c>
      <c r="J38" s="19">
        <f t="shared" si="8"/>
        <v>2605.833333333333</v>
      </c>
      <c r="K38" s="19">
        <f t="shared" si="8"/>
        <v>2605.833333333333</v>
      </c>
      <c r="L38" s="19">
        <f t="shared" si="8"/>
        <v>2605.833333333333</v>
      </c>
      <c r="M38" s="19">
        <f t="shared" si="8"/>
        <v>2605.833333333333</v>
      </c>
      <c r="N38" s="19">
        <f t="shared" si="8"/>
        <v>2605.833333333333</v>
      </c>
      <c r="O38" s="19">
        <f t="shared" si="8"/>
        <v>2605.833333333333</v>
      </c>
      <c r="P38" s="19">
        <f>SUM(P25:P37)</f>
        <v>28590</v>
      </c>
      <c r="Q38" s="25">
        <f>P38-C38</f>
        <v>2680</v>
      </c>
      <c r="R38" s="21"/>
    </row>
    <row r="39" spans="1:18" s="5" customFormat="1" ht="15" x14ac:dyDescent="0.25">
      <c r="C39" s="22"/>
      <c r="D39" s="9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7"/>
    </row>
    <row r="40" spans="1:18" s="5" customFormat="1" ht="15" hidden="1" x14ac:dyDescent="0.25">
      <c r="A40" s="12" t="s">
        <v>67</v>
      </c>
      <c r="C40" s="22"/>
      <c r="D40" s="9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/>
    </row>
    <row r="41" spans="1:18" s="5" customFormat="1" ht="15" hidden="1" customHeight="1" x14ac:dyDescent="0.25">
      <c r="A41" s="13" t="s">
        <v>68</v>
      </c>
      <c r="B41" s="14" t="s">
        <v>69</v>
      </c>
      <c r="C41" s="15">
        <v>200</v>
      </c>
      <c r="D41" s="96">
        <f t="shared" ref="D41:O48" si="9">$C41/12</f>
        <v>16.666666666666668</v>
      </c>
      <c r="E41" s="15">
        <f t="shared" si="9"/>
        <v>16.666666666666668</v>
      </c>
      <c r="F41" s="15">
        <f t="shared" si="9"/>
        <v>16.666666666666668</v>
      </c>
      <c r="G41" s="15">
        <f t="shared" si="9"/>
        <v>16.666666666666668</v>
      </c>
      <c r="H41" s="15">
        <f t="shared" si="9"/>
        <v>16.666666666666668</v>
      </c>
      <c r="I41" s="15">
        <f t="shared" si="9"/>
        <v>16.666666666666668</v>
      </c>
      <c r="J41" s="15">
        <f t="shared" si="9"/>
        <v>16.666666666666668</v>
      </c>
      <c r="K41" s="15">
        <f t="shared" si="9"/>
        <v>16.666666666666668</v>
      </c>
      <c r="L41" s="15">
        <f t="shared" si="9"/>
        <v>16.666666666666668</v>
      </c>
      <c r="M41" s="15">
        <f t="shared" si="9"/>
        <v>16.666666666666668</v>
      </c>
      <c r="N41" s="15">
        <f t="shared" si="9"/>
        <v>16.666666666666668</v>
      </c>
      <c r="O41" s="15">
        <f t="shared" si="9"/>
        <v>16.666666666666668</v>
      </c>
      <c r="P41" s="15">
        <f>D41/26*$O$4</f>
        <v>1.2820512820512822</v>
      </c>
      <c r="Q41" s="17"/>
      <c r="R41" s="18"/>
    </row>
    <row r="42" spans="1:18" s="5" customFormat="1" ht="15" hidden="1" x14ac:dyDescent="0.25">
      <c r="A42" s="13" t="s">
        <v>70</v>
      </c>
      <c r="B42" s="14" t="s">
        <v>71</v>
      </c>
      <c r="C42" s="15">
        <v>1000</v>
      </c>
      <c r="D42" s="96">
        <f t="shared" si="9"/>
        <v>83.333333333333329</v>
      </c>
      <c r="E42" s="15">
        <f t="shared" si="9"/>
        <v>83.333333333333329</v>
      </c>
      <c r="F42" s="15">
        <f t="shared" si="9"/>
        <v>83.333333333333329</v>
      </c>
      <c r="G42" s="15">
        <f t="shared" si="9"/>
        <v>83.333333333333329</v>
      </c>
      <c r="H42" s="15">
        <f t="shared" si="9"/>
        <v>83.333333333333329</v>
      </c>
      <c r="I42" s="15">
        <f t="shared" si="9"/>
        <v>83.333333333333329</v>
      </c>
      <c r="J42" s="15">
        <f t="shared" si="9"/>
        <v>83.333333333333329</v>
      </c>
      <c r="K42" s="15">
        <f t="shared" si="9"/>
        <v>83.333333333333329</v>
      </c>
      <c r="L42" s="15">
        <f t="shared" si="9"/>
        <v>83.333333333333329</v>
      </c>
      <c r="M42" s="15">
        <f t="shared" si="9"/>
        <v>83.333333333333329</v>
      </c>
      <c r="N42" s="15">
        <f t="shared" si="9"/>
        <v>83.333333333333329</v>
      </c>
      <c r="O42" s="15">
        <f t="shared" si="9"/>
        <v>83.333333333333329</v>
      </c>
      <c r="P42" s="15">
        <f>SUM(D42:O42)</f>
        <v>1000.0000000000001</v>
      </c>
      <c r="Q42" s="11">
        <f>P42-C42</f>
        <v>0</v>
      </c>
      <c r="R42" s="18"/>
    </row>
    <row r="43" spans="1:18" s="5" customFormat="1" ht="15" hidden="1" x14ac:dyDescent="0.25">
      <c r="A43" s="13" t="s">
        <v>72</v>
      </c>
      <c r="B43" s="14" t="s">
        <v>73</v>
      </c>
      <c r="C43" s="15">
        <v>800</v>
      </c>
      <c r="D43" s="96">
        <f t="shared" si="9"/>
        <v>66.666666666666671</v>
      </c>
      <c r="E43" s="15">
        <f t="shared" si="9"/>
        <v>66.666666666666671</v>
      </c>
      <c r="F43" s="15">
        <f t="shared" si="9"/>
        <v>66.666666666666671</v>
      </c>
      <c r="G43" s="15">
        <f t="shared" si="9"/>
        <v>66.666666666666671</v>
      </c>
      <c r="H43" s="15">
        <f t="shared" si="9"/>
        <v>66.666666666666671</v>
      </c>
      <c r="I43" s="15">
        <f t="shared" si="9"/>
        <v>66.666666666666671</v>
      </c>
      <c r="J43" s="15">
        <f t="shared" si="9"/>
        <v>66.666666666666671</v>
      </c>
      <c r="K43" s="15">
        <f t="shared" si="9"/>
        <v>66.666666666666671</v>
      </c>
      <c r="L43" s="15">
        <f t="shared" si="9"/>
        <v>66.666666666666671</v>
      </c>
      <c r="M43" s="15">
        <f t="shared" si="9"/>
        <v>66.666666666666671</v>
      </c>
      <c r="N43" s="15">
        <f t="shared" si="9"/>
        <v>66.666666666666671</v>
      </c>
      <c r="O43" s="15">
        <f t="shared" si="9"/>
        <v>66.666666666666671</v>
      </c>
      <c r="P43" s="15">
        <f>SUM(D43:O43)</f>
        <v>799.99999999999989</v>
      </c>
      <c r="Q43" s="11">
        <f>P43-C43</f>
        <v>0</v>
      </c>
      <c r="R43" s="18"/>
    </row>
    <row r="44" spans="1:18" s="5" customFormat="1" ht="15" hidden="1" customHeight="1" x14ac:dyDescent="0.25">
      <c r="A44" s="13" t="s">
        <v>74</v>
      </c>
      <c r="B44" s="14" t="s">
        <v>75</v>
      </c>
      <c r="C44" s="15">
        <v>300</v>
      </c>
      <c r="D44" s="96">
        <f t="shared" si="9"/>
        <v>25</v>
      </c>
      <c r="E44" s="15">
        <f t="shared" si="9"/>
        <v>25</v>
      </c>
      <c r="F44" s="15">
        <f t="shared" si="9"/>
        <v>25</v>
      </c>
      <c r="G44" s="15">
        <f t="shared" si="9"/>
        <v>25</v>
      </c>
      <c r="H44" s="15">
        <f t="shared" si="9"/>
        <v>25</v>
      </c>
      <c r="I44" s="15">
        <f t="shared" si="9"/>
        <v>25</v>
      </c>
      <c r="J44" s="15">
        <f t="shared" si="9"/>
        <v>25</v>
      </c>
      <c r="K44" s="15">
        <f t="shared" si="9"/>
        <v>25</v>
      </c>
      <c r="L44" s="15">
        <f t="shared" si="9"/>
        <v>25</v>
      </c>
      <c r="M44" s="15">
        <f t="shared" si="9"/>
        <v>25</v>
      </c>
      <c r="N44" s="15">
        <f t="shared" si="9"/>
        <v>25</v>
      </c>
      <c r="O44" s="15">
        <f t="shared" si="9"/>
        <v>25</v>
      </c>
      <c r="P44" s="15">
        <f>SUM(D44:O44)</f>
        <v>300</v>
      </c>
      <c r="Q44" s="11">
        <f>P44-C44</f>
        <v>0</v>
      </c>
      <c r="R44" s="18"/>
    </row>
    <row r="45" spans="1:18" s="5" customFormat="1" ht="15" hidden="1" x14ac:dyDescent="0.25">
      <c r="A45" s="13" t="s">
        <v>76</v>
      </c>
      <c r="B45" s="14" t="s">
        <v>77</v>
      </c>
      <c r="C45" s="15">
        <v>250</v>
      </c>
      <c r="D45" s="96">
        <f t="shared" si="9"/>
        <v>20.833333333333332</v>
      </c>
      <c r="E45" s="15">
        <f t="shared" si="9"/>
        <v>20.833333333333332</v>
      </c>
      <c r="F45" s="15">
        <f t="shared" si="9"/>
        <v>20.833333333333332</v>
      </c>
      <c r="G45" s="15">
        <f t="shared" si="9"/>
        <v>20.833333333333332</v>
      </c>
      <c r="H45" s="15">
        <f t="shared" si="9"/>
        <v>20.833333333333332</v>
      </c>
      <c r="I45" s="15">
        <f t="shared" si="9"/>
        <v>20.833333333333332</v>
      </c>
      <c r="J45" s="15">
        <f t="shared" si="9"/>
        <v>20.833333333333332</v>
      </c>
      <c r="K45" s="15">
        <f t="shared" si="9"/>
        <v>20.833333333333332</v>
      </c>
      <c r="L45" s="15">
        <f t="shared" si="9"/>
        <v>20.833333333333332</v>
      </c>
      <c r="M45" s="15">
        <f t="shared" si="9"/>
        <v>20.833333333333332</v>
      </c>
      <c r="N45" s="15">
        <f t="shared" si="9"/>
        <v>20.833333333333332</v>
      </c>
      <c r="O45" s="15">
        <f t="shared" si="9"/>
        <v>20.833333333333332</v>
      </c>
      <c r="P45" s="15">
        <f>SUM(D45:O45)</f>
        <v>250.00000000000003</v>
      </c>
      <c r="Q45" s="11">
        <f>P45-C45</f>
        <v>0</v>
      </c>
      <c r="R45" s="18"/>
    </row>
    <row r="46" spans="1:18" s="5" customFormat="1" ht="15" hidden="1" x14ac:dyDescent="0.25">
      <c r="A46" s="13" t="s">
        <v>78</v>
      </c>
      <c r="B46" s="91" t="s">
        <v>79</v>
      </c>
      <c r="C46" s="15">
        <f>C47*11%</f>
        <v>6600</v>
      </c>
      <c r="D46" s="96">
        <f t="shared" si="9"/>
        <v>550</v>
      </c>
      <c r="E46" s="15">
        <f t="shared" si="9"/>
        <v>550</v>
      </c>
      <c r="F46" s="15">
        <f t="shared" si="9"/>
        <v>550</v>
      </c>
      <c r="G46" s="15">
        <f t="shared" si="9"/>
        <v>550</v>
      </c>
      <c r="H46" s="15">
        <f t="shared" si="9"/>
        <v>550</v>
      </c>
      <c r="I46" s="15">
        <f t="shared" si="9"/>
        <v>550</v>
      </c>
      <c r="J46" s="15">
        <f t="shared" si="9"/>
        <v>550</v>
      </c>
      <c r="K46" s="15">
        <f t="shared" si="9"/>
        <v>550</v>
      </c>
      <c r="L46" s="15">
        <f t="shared" si="9"/>
        <v>550</v>
      </c>
      <c r="M46" s="15">
        <f t="shared" si="9"/>
        <v>550</v>
      </c>
      <c r="N46" s="15">
        <f t="shared" si="9"/>
        <v>550</v>
      </c>
      <c r="O46" s="15">
        <f t="shared" si="9"/>
        <v>550</v>
      </c>
      <c r="P46" s="15">
        <f>SUM(D46:O46)</f>
        <v>6600</v>
      </c>
      <c r="Q46" s="11">
        <f>P46-C46</f>
        <v>0</v>
      </c>
      <c r="R46" s="18"/>
    </row>
    <row r="47" spans="1:18" s="5" customFormat="1" ht="15" hidden="1" x14ac:dyDescent="0.25">
      <c r="A47" s="13" t="s">
        <v>80</v>
      </c>
      <c r="B47" s="14" t="s">
        <v>81</v>
      </c>
      <c r="C47" s="15">
        <v>60000</v>
      </c>
      <c r="D47" s="96">
        <f t="shared" si="9"/>
        <v>5000</v>
      </c>
      <c r="E47" s="15">
        <f t="shared" si="9"/>
        <v>5000</v>
      </c>
      <c r="F47" s="15">
        <f t="shared" si="9"/>
        <v>5000</v>
      </c>
      <c r="G47" s="15">
        <f t="shared" si="9"/>
        <v>5000</v>
      </c>
      <c r="H47" s="15">
        <f t="shared" si="9"/>
        <v>5000</v>
      </c>
      <c r="I47" s="15">
        <f t="shared" si="9"/>
        <v>5000</v>
      </c>
      <c r="J47" s="15">
        <f t="shared" si="9"/>
        <v>5000</v>
      </c>
      <c r="K47" s="15">
        <f t="shared" si="9"/>
        <v>5000</v>
      </c>
      <c r="L47" s="15">
        <f t="shared" si="9"/>
        <v>5000</v>
      </c>
      <c r="M47" s="15">
        <f t="shared" si="9"/>
        <v>5000</v>
      </c>
      <c r="N47" s="15">
        <f t="shared" si="9"/>
        <v>5000</v>
      </c>
      <c r="O47" s="15">
        <f t="shared" si="9"/>
        <v>5000</v>
      </c>
      <c r="P47" s="15">
        <f>SUM(D47:O47)</f>
        <v>60000</v>
      </c>
      <c r="Q47" s="11">
        <f>P47-C47</f>
        <v>0</v>
      </c>
      <c r="R47" s="18"/>
    </row>
    <row r="48" spans="1:18" s="5" customFormat="1" ht="15" hidden="1" x14ac:dyDescent="0.25">
      <c r="A48" s="13" t="s">
        <v>82</v>
      </c>
      <c r="B48" s="14" t="s">
        <v>83</v>
      </c>
      <c r="C48" s="15">
        <v>1000</v>
      </c>
      <c r="D48" s="96">
        <f t="shared" si="9"/>
        <v>83.333333333333329</v>
      </c>
      <c r="E48" s="15">
        <f t="shared" si="9"/>
        <v>83.333333333333329</v>
      </c>
      <c r="F48" s="15">
        <f t="shared" si="9"/>
        <v>83.333333333333329</v>
      </c>
      <c r="G48" s="15">
        <f t="shared" si="9"/>
        <v>83.333333333333329</v>
      </c>
      <c r="H48" s="15">
        <f t="shared" si="9"/>
        <v>83.333333333333329</v>
      </c>
      <c r="I48" s="15">
        <f t="shared" si="9"/>
        <v>83.333333333333329</v>
      </c>
      <c r="J48" s="15">
        <f t="shared" si="9"/>
        <v>83.333333333333329</v>
      </c>
      <c r="K48" s="15">
        <f t="shared" si="9"/>
        <v>83.333333333333329</v>
      </c>
      <c r="L48" s="15">
        <f t="shared" si="9"/>
        <v>83.333333333333329</v>
      </c>
      <c r="M48" s="15">
        <f t="shared" si="9"/>
        <v>83.333333333333329</v>
      </c>
      <c r="N48" s="15">
        <f t="shared" si="9"/>
        <v>83.333333333333329</v>
      </c>
      <c r="O48" s="15">
        <f t="shared" si="9"/>
        <v>83.333333333333329</v>
      </c>
      <c r="P48" s="15">
        <f>SUM(D48:O48)</f>
        <v>1000.0000000000001</v>
      </c>
      <c r="Q48" s="11">
        <f>P48-C48</f>
        <v>0</v>
      </c>
      <c r="R48" s="18"/>
    </row>
    <row r="49" spans="1:18" s="5" customFormat="1" ht="15" x14ac:dyDescent="0.25">
      <c r="A49" s="256" t="s">
        <v>67</v>
      </c>
      <c r="C49" s="254">
        <f t="shared" ref="C49:I49" si="10">SUM(C41:C48)</f>
        <v>70150</v>
      </c>
      <c r="D49" s="97">
        <f t="shared" si="10"/>
        <v>5845.833333333333</v>
      </c>
      <c r="E49" s="19">
        <f t="shared" si="10"/>
        <v>5845.833333333333</v>
      </c>
      <c r="F49" s="19">
        <f t="shared" si="10"/>
        <v>5845.833333333333</v>
      </c>
      <c r="G49" s="19">
        <f t="shared" si="10"/>
        <v>5845.833333333333</v>
      </c>
      <c r="H49" s="19">
        <f t="shared" si="10"/>
        <v>5845.833333333333</v>
      </c>
      <c r="I49" s="19">
        <f t="shared" si="10"/>
        <v>5845.833333333333</v>
      </c>
      <c r="J49" s="254">
        <v>8100</v>
      </c>
      <c r="K49" s="254">
        <v>8100</v>
      </c>
      <c r="L49" s="254">
        <v>8100</v>
      </c>
      <c r="M49" s="254">
        <v>8100</v>
      </c>
      <c r="N49" s="254">
        <v>8100</v>
      </c>
      <c r="O49" s="254">
        <v>8100</v>
      </c>
      <c r="P49" s="254">
        <f>SUM(D49:O49)</f>
        <v>83675</v>
      </c>
      <c r="Q49" s="255">
        <f>P49-C49</f>
        <v>13525</v>
      </c>
      <c r="R49" s="21"/>
    </row>
    <row r="50" spans="1:18" s="5" customFormat="1" ht="15" x14ac:dyDescent="0.25">
      <c r="C50" s="22"/>
      <c r="D50" s="9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</row>
    <row r="51" spans="1:18" s="5" customFormat="1" ht="15" hidden="1" x14ac:dyDescent="0.25">
      <c r="A51" s="12" t="s">
        <v>84</v>
      </c>
      <c r="C51" s="22"/>
      <c r="D51" s="9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7"/>
      <c r="R51" s="23"/>
    </row>
    <row r="52" spans="1:18" s="5" customFormat="1" ht="15" hidden="1" x14ac:dyDescent="0.25">
      <c r="A52" s="13" t="s">
        <v>85</v>
      </c>
      <c r="B52" s="14" t="s">
        <v>86</v>
      </c>
      <c r="C52" s="15">
        <v>3000</v>
      </c>
      <c r="D52" s="96">
        <f t="shared" ref="D52:O54" si="11">$C52/12</f>
        <v>250</v>
      </c>
      <c r="E52" s="15">
        <f t="shared" si="11"/>
        <v>250</v>
      </c>
      <c r="F52" s="15">
        <f t="shared" si="11"/>
        <v>250</v>
      </c>
      <c r="G52" s="15">
        <f t="shared" si="11"/>
        <v>250</v>
      </c>
      <c r="H52" s="15">
        <f t="shared" si="11"/>
        <v>250</v>
      </c>
      <c r="I52" s="15">
        <f t="shared" si="11"/>
        <v>250</v>
      </c>
      <c r="J52" s="15">
        <f t="shared" si="11"/>
        <v>250</v>
      </c>
      <c r="K52" s="15">
        <f t="shared" si="11"/>
        <v>250</v>
      </c>
      <c r="L52" s="15">
        <f t="shared" si="11"/>
        <v>250</v>
      </c>
      <c r="M52" s="15">
        <f t="shared" si="11"/>
        <v>250</v>
      </c>
      <c r="N52" s="15">
        <f t="shared" si="11"/>
        <v>250</v>
      </c>
      <c r="O52" s="15">
        <f t="shared" si="11"/>
        <v>250</v>
      </c>
      <c r="P52" s="15">
        <f>SUM(D52:O52)</f>
        <v>3000</v>
      </c>
      <c r="Q52" s="17">
        <f>P52-C52</f>
        <v>0</v>
      </c>
      <c r="R52" s="18"/>
    </row>
    <row r="53" spans="1:18" s="5" customFormat="1" ht="15" hidden="1" customHeight="1" x14ac:dyDescent="0.25">
      <c r="A53" s="13" t="s">
        <v>87</v>
      </c>
      <c r="B53" s="14" t="s">
        <v>88</v>
      </c>
      <c r="C53" s="22">
        <v>0</v>
      </c>
      <c r="D53" s="96">
        <f t="shared" si="11"/>
        <v>0</v>
      </c>
      <c r="E53" s="15">
        <f t="shared" si="11"/>
        <v>0</v>
      </c>
      <c r="F53" s="15">
        <f t="shared" si="11"/>
        <v>0</v>
      </c>
      <c r="G53" s="15">
        <f t="shared" si="11"/>
        <v>0</v>
      </c>
      <c r="H53" s="15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si="11"/>
        <v>0</v>
      </c>
      <c r="M53" s="15">
        <f t="shared" si="11"/>
        <v>0</v>
      </c>
      <c r="N53" s="15">
        <f t="shared" si="11"/>
        <v>0</v>
      </c>
      <c r="O53" s="15">
        <f t="shared" si="11"/>
        <v>0</v>
      </c>
      <c r="P53" s="15">
        <f>SUM(D53:O53)</f>
        <v>0</v>
      </c>
      <c r="Q53" s="17">
        <f>P53-C53</f>
        <v>0</v>
      </c>
      <c r="R53" s="18"/>
    </row>
    <row r="54" spans="1:18" s="5" customFormat="1" ht="15" hidden="1" x14ac:dyDescent="0.25">
      <c r="A54" s="13" t="s">
        <v>89</v>
      </c>
      <c r="B54" s="91" t="s">
        <v>90</v>
      </c>
      <c r="C54" s="15">
        <v>600</v>
      </c>
      <c r="D54" s="96">
        <f t="shared" si="11"/>
        <v>50</v>
      </c>
      <c r="E54" s="15">
        <f t="shared" si="11"/>
        <v>50</v>
      </c>
      <c r="F54" s="15">
        <f t="shared" si="11"/>
        <v>50</v>
      </c>
      <c r="G54" s="15">
        <f t="shared" si="11"/>
        <v>50</v>
      </c>
      <c r="H54" s="15">
        <f t="shared" si="11"/>
        <v>50</v>
      </c>
      <c r="I54" s="15">
        <f t="shared" si="11"/>
        <v>50</v>
      </c>
      <c r="J54" s="15">
        <f t="shared" si="11"/>
        <v>50</v>
      </c>
      <c r="K54" s="15">
        <f t="shared" si="11"/>
        <v>50</v>
      </c>
      <c r="L54" s="15">
        <f t="shared" si="11"/>
        <v>50</v>
      </c>
      <c r="M54" s="15">
        <f t="shared" si="11"/>
        <v>50</v>
      </c>
      <c r="N54" s="15">
        <f t="shared" si="11"/>
        <v>50</v>
      </c>
      <c r="O54" s="15">
        <f t="shared" si="11"/>
        <v>50</v>
      </c>
      <c r="P54" s="15">
        <f>SUM(D54:O54)</f>
        <v>600</v>
      </c>
      <c r="Q54" s="17">
        <f>P54-C54</f>
        <v>0</v>
      </c>
      <c r="R54" s="18"/>
    </row>
    <row r="55" spans="1:18" s="5" customFormat="1" ht="14.25" hidden="1" customHeight="1" x14ac:dyDescent="0.25">
      <c r="A55" s="12"/>
      <c r="C55" s="19">
        <f t="shared" ref="C55:P55" si="12">SUM(C52:C54)</f>
        <v>3600</v>
      </c>
      <c r="D55" s="97">
        <f t="shared" si="12"/>
        <v>300</v>
      </c>
      <c r="E55" s="19">
        <f t="shared" si="12"/>
        <v>300</v>
      </c>
      <c r="F55" s="19">
        <f t="shared" si="12"/>
        <v>300</v>
      </c>
      <c r="G55" s="19">
        <f t="shared" si="12"/>
        <v>300</v>
      </c>
      <c r="H55" s="19">
        <f t="shared" si="12"/>
        <v>300</v>
      </c>
      <c r="I55" s="19">
        <f t="shared" si="12"/>
        <v>300</v>
      </c>
      <c r="J55" s="19">
        <f t="shared" si="12"/>
        <v>300</v>
      </c>
      <c r="K55" s="19">
        <f t="shared" si="12"/>
        <v>300</v>
      </c>
      <c r="L55" s="19">
        <f t="shared" si="12"/>
        <v>300</v>
      </c>
      <c r="M55" s="19">
        <f t="shared" si="12"/>
        <v>300</v>
      </c>
      <c r="N55" s="19">
        <f t="shared" si="12"/>
        <v>300</v>
      </c>
      <c r="O55" s="19">
        <f t="shared" si="12"/>
        <v>300</v>
      </c>
      <c r="P55" s="19">
        <f t="shared" si="12"/>
        <v>3600</v>
      </c>
      <c r="Q55" s="20">
        <f>P55-C55</f>
        <v>0</v>
      </c>
      <c r="R55" s="21"/>
    </row>
    <row r="56" spans="1:18" s="5" customFormat="1" ht="15" hidden="1" x14ac:dyDescent="0.25">
      <c r="C56" s="22"/>
      <c r="D56" s="9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7"/>
    </row>
    <row r="57" spans="1:18" s="5" customFormat="1" ht="15" hidden="1" x14ac:dyDescent="0.25">
      <c r="A57" s="12" t="s">
        <v>91</v>
      </c>
      <c r="C57" s="22"/>
      <c r="D57" s="9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/>
      <c r="R57" s="23"/>
    </row>
    <row r="58" spans="1:18" s="5" customFormat="1" ht="15" hidden="1" x14ac:dyDescent="0.25">
      <c r="A58" s="13" t="s">
        <v>92</v>
      </c>
      <c r="B58" s="14" t="s">
        <v>93</v>
      </c>
      <c r="C58" s="15">
        <v>0</v>
      </c>
      <c r="D58" s="96">
        <f t="shared" ref="D58:O62" si="13">$C58/12</f>
        <v>0</v>
      </c>
      <c r="E58" s="15">
        <f t="shared" si="13"/>
        <v>0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3"/>
        <v>0</v>
      </c>
      <c r="O58" s="15">
        <f t="shared" si="13"/>
        <v>0</v>
      </c>
      <c r="P58" s="15">
        <f>SUM(D58:O58)</f>
        <v>0</v>
      </c>
      <c r="Q58" s="11">
        <f>P58-C58</f>
        <v>0</v>
      </c>
      <c r="R58" s="18"/>
    </row>
    <row r="59" spans="1:18" s="5" customFormat="1" ht="15" hidden="1" x14ac:dyDescent="0.25">
      <c r="A59" s="13" t="s">
        <v>94</v>
      </c>
      <c r="B59" s="14" t="s">
        <v>95</v>
      </c>
      <c r="C59" s="15">
        <v>0</v>
      </c>
      <c r="D59" s="96">
        <f t="shared" si="13"/>
        <v>0</v>
      </c>
      <c r="E59" s="15">
        <f t="shared" si="13"/>
        <v>0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0</v>
      </c>
      <c r="J59" s="15">
        <f t="shared" si="13"/>
        <v>0</v>
      </c>
      <c r="K59" s="15">
        <f t="shared" si="13"/>
        <v>0</v>
      </c>
      <c r="L59" s="15">
        <f t="shared" si="13"/>
        <v>0</v>
      </c>
      <c r="M59" s="15">
        <f t="shared" si="13"/>
        <v>0</v>
      </c>
      <c r="N59" s="15">
        <f t="shared" si="13"/>
        <v>0</v>
      </c>
      <c r="O59" s="15">
        <f t="shared" si="13"/>
        <v>0</v>
      </c>
      <c r="P59" s="15">
        <f>SUM(D59:O59)</f>
        <v>0</v>
      </c>
      <c r="Q59" s="11">
        <f>P59-C59</f>
        <v>0</v>
      </c>
      <c r="R59" s="18"/>
    </row>
    <row r="60" spans="1:18" s="5" customFormat="1" ht="15" hidden="1" x14ac:dyDescent="0.25">
      <c r="A60" s="13" t="s">
        <v>96</v>
      </c>
      <c r="B60" s="14" t="s">
        <v>97</v>
      </c>
      <c r="C60" s="15">
        <v>0</v>
      </c>
      <c r="D60" s="96">
        <f t="shared" si="13"/>
        <v>0</v>
      </c>
      <c r="E60" s="15">
        <f t="shared" si="13"/>
        <v>0</v>
      </c>
      <c r="F60" s="15">
        <f t="shared" si="13"/>
        <v>0</v>
      </c>
      <c r="G60" s="15">
        <f t="shared" si="13"/>
        <v>0</v>
      </c>
      <c r="H60" s="15">
        <f t="shared" si="13"/>
        <v>0</v>
      </c>
      <c r="I60" s="15">
        <f t="shared" si="13"/>
        <v>0</v>
      </c>
      <c r="J60" s="15">
        <f t="shared" si="13"/>
        <v>0</v>
      </c>
      <c r="K60" s="15">
        <f t="shared" si="13"/>
        <v>0</v>
      </c>
      <c r="L60" s="15">
        <f t="shared" si="13"/>
        <v>0</v>
      </c>
      <c r="M60" s="15">
        <f t="shared" si="13"/>
        <v>0</v>
      </c>
      <c r="N60" s="15">
        <f t="shared" si="13"/>
        <v>0</v>
      </c>
      <c r="O60" s="15">
        <f t="shared" si="13"/>
        <v>0</v>
      </c>
      <c r="P60" s="15">
        <f>SUM(D60:O60)</f>
        <v>0</v>
      </c>
      <c r="Q60" s="11">
        <f>P60-C60</f>
        <v>0</v>
      </c>
      <c r="R60" s="18"/>
    </row>
    <row r="61" spans="1:18" s="5" customFormat="1" ht="15" hidden="1" x14ac:dyDescent="0.25">
      <c r="A61" s="13" t="s">
        <v>98</v>
      </c>
      <c r="B61" s="14" t="s">
        <v>99</v>
      </c>
      <c r="C61" s="15">
        <v>0</v>
      </c>
      <c r="D61" s="96">
        <f t="shared" si="13"/>
        <v>0</v>
      </c>
      <c r="E61" s="15">
        <f t="shared" si="13"/>
        <v>0</v>
      </c>
      <c r="F61" s="15">
        <f t="shared" si="13"/>
        <v>0</v>
      </c>
      <c r="G61" s="15">
        <f t="shared" si="13"/>
        <v>0</v>
      </c>
      <c r="H61" s="15">
        <f t="shared" si="13"/>
        <v>0</v>
      </c>
      <c r="I61" s="15">
        <f t="shared" si="13"/>
        <v>0</v>
      </c>
      <c r="J61" s="15">
        <f t="shared" si="13"/>
        <v>0</v>
      </c>
      <c r="K61" s="15">
        <f t="shared" si="13"/>
        <v>0</v>
      </c>
      <c r="L61" s="15">
        <f t="shared" si="13"/>
        <v>0</v>
      </c>
      <c r="M61" s="15">
        <f t="shared" si="13"/>
        <v>0</v>
      </c>
      <c r="N61" s="15">
        <f t="shared" si="13"/>
        <v>0</v>
      </c>
      <c r="O61" s="15">
        <f t="shared" si="13"/>
        <v>0</v>
      </c>
      <c r="P61" s="15">
        <f>SUM(D61:O61)</f>
        <v>0</v>
      </c>
      <c r="Q61" s="11">
        <f>P61-C61</f>
        <v>0</v>
      </c>
      <c r="R61" s="18"/>
    </row>
    <row r="62" spans="1:18" s="5" customFormat="1" ht="15" hidden="1" x14ac:dyDescent="0.25">
      <c r="A62" s="13" t="s">
        <v>100</v>
      </c>
      <c r="B62" s="14" t="s">
        <v>101</v>
      </c>
      <c r="C62" s="15">
        <v>0</v>
      </c>
      <c r="D62" s="96">
        <f t="shared" si="13"/>
        <v>0</v>
      </c>
      <c r="E62" s="15">
        <f t="shared" si="13"/>
        <v>0</v>
      </c>
      <c r="F62" s="15">
        <f t="shared" si="13"/>
        <v>0</v>
      </c>
      <c r="G62" s="15">
        <f t="shared" si="13"/>
        <v>0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3"/>
        <v>0</v>
      </c>
      <c r="O62" s="15">
        <f t="shared" si="13"/>
        <v>0</v>
      </c>
      <c r="P62" s="15">
        <f>SUM(D62:O62)</f>
        <v>0</v>
      </c>
      <c r="Q62" s="11">
        <f>P62-C62</f>
        <v>0</v>
      </c>
      <c r="R62" s="18"/>
    </row>
    <row r="63" spans="1:18" s="5" customFormat="1" ht="15" hidden="1" x14ac:dyDescent="0.25">
      <c r="A63" s="12"/>
      <c r="C63" s="19">
        <f t="shared" ref="C63:P63" si="14">SUM(C58:C62)</f>
        <v>0</v>
      </c>
      <c r="D63" s="97">
        <f t="shared" si="14"/>
        <v>0</v>
      </c>
      <c r="E63" s="19">
        <f t="shared" si="14"/>
        <v>0</v>
      </c>
      <c r="F63" s="19">
        <f t="shared" si="14"/>
        <v>0</v>
      </c>
      <c r="G63" s="19">
        <f t="shared" si="14"/>
        <v>0</v>
      </c>
      <c r="H63" s="19">
        <f t="shared" si="14"/>
        <v>0</v>
      </c>
      <c r="I63" s="19">
        <f t="shared" si="14"/>
        <v>0</v>
      </c>
      <c r="J63" s="19">
        <f t="shared" si="14"/>
        <v>0</v>
      </c>
      <c r="K63" s="19">
        <f t="shared" si="14"/>
        <v>0</v>
      </c>
      <c r="L63" s="19">
        <f t="shared" si="14"/>
        <v>0</v>
      </c>
      <c r="M63" s="19">
        <f t="shared" si="14"/>
        <v>0</v>
      </c>
      <c r="N63" s="19">
        <f t="shared" si="14"/>
        <v>0</v>
      </c>
      <c r="O63" s="19">
        <f t="shared" si="14"/>
        <v>0</v>
      </c>
      <c r="P63" s="19">
        <f t="shared" si="14"/>
        <v>0</v>
      </c>
      <c r="Q63" s="25">
        <f>P63-C63</f>
        <v>0</v>
      </c>
      <c r="R63" s="21"/>
    </row>
    <row r="64" spans="1:18" s="5" customFormat="1" ht="15" hidden="1" x14ac:dyDescent="0.25">
      <c r="C64" s="22"/>
      <c r="D64" s="9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1"/>
    </row>
    <row r="65" spans="1:20" s="5" customFormat="1" ht="15" x14ac:dyDescent="0.25">
      <c r="A65" s="90" t="s">
        <v>102</v>
      </c>
      <c r="C65" s="30">
        <f t="shared" ref="C65:P65" si="15">C55+C49+C38+C63</f>
        <v>99660</v>
      </c>
      <c r="D65" s="100">
        <f>D55+D49+D38</f>
        <v>8305</v>
      </c>
      <c r="E65" s="30">
        <f t="shared" si="15"/>
        <v>8305</v>
      </c>
      <c r="F65" s="30">
        <f t="shared" si="15"/>
        <v>8305</v>
      </c>
      <c r="G65" s="30">
        <f t="shared" si="15"/>
        <v>8305</v>
      </c>
      <c r="H65" s="30">
        <f t="shared" si="15"/>
        <v>8305</v>
      </c>
      <c r="I65" s="30">
        <f t="shared" si="15"/>
        <v>8305</v>
      </c>
      <c r="J65" s="30">
        <f t="shared" si="15"/>
        <v>11005.833333333332</v>
      </c>
      <c r="K65" s="30">
        <f t="shared" si="15"/>
        <v>11005.833333333332</v>
      </c>
      <c r="L65" s="30">
        <f t="shared" si="15"/>
        <v>11005.833333333332</v>
      </c>
      <c r="M65" s="30">
        <f t="shared" si="15"/>
        <v>11005.833333333332</v>
      </c>
      <c r="N65" s="30">
        <f t="shared" si="15"/>
        <v>11005.833333333332</v>
      </c>
      <c r="O65" s="30">
        <f t="shared" si="15"/>
        <v>11005.833333333332</v>
      </c>
      <c r="P65" s="30">
        <f t="shared" si="15"/>
        <v>115865</v>
      </c>
      <c r="Q65" s="25">
        <f>P65-C65</f>
        <v>16205</v>
      </c>
      <c r="R65" s="21"/>
    </row>
    <row r="66" spans="1:20" s="5" customFormat="1" ht="15.75" thickBot="1" x14ac:dyDescent="0.3">
      <c r="A66" s="31"/>
      <c r="C66" s="26"/>
      <c r="D66" s="10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11"/>
    </row>
    <row r="67" spans="1:20" s="5" customFormat="1" ht="15.75" hidden="1" thickBot="1" x14ac:dyDescent="0.3">
      <c r="A67" s="90" t="s">
        <v>103</v>
      </c>
      <c r="C67" s="32">
        <f>+C22-C65</f>
        <v>-118160</v>
      </c>
      <c r="D67" s="102">
        <f t="shared" ref="D67:O67" si="16">D22-D65</f>
        <v>-9846.6666666666679</v>
      </c>
      <c r="E67" s="32">
        <f t="shared" si="16"/>
        <v>-9846.6666666666679</v>
      </c>
      <c r="F67" s="32">
        <f t="shared" si="16"/>
        <v>-9846.6666666666679</v>
      </c>
      <c r="G67" s="32">
        <f t="shared" si="16"/>
        <v>-9846.6666666666679</v>
      </c>
      <c r="H67" s="32">
        <f t="shared" si="16"/>
        <v>-9846.6666666666679</v>
      </c>
      <c r="I67" s="32">
        <f t="shared" si="16"/>
        <v>-9846.6666666666679</v>
      </c>
      <c r="J67" s="32">
        <f t="shared" si="16"/>
        <v>-12547.5</v>
      </c>
      <c r="K67" s="32">
        <f t="shared" si="16"/>
        <v>-12547.5</v>
      </c>
      <c r="L67" s="32">
        <f t="shared" si="16"/>
        <v>-12547.5</v>
      </c>
      <c r="M67" s="32">
        <f t="shared" si="16"/>
        <v>-12547.5</v>
      </c>
      <c r="N67" s="32">
        <f t="shared" si="16"/>
        <v>-12547.5</v>
      </c>
      <c r="O67" s="32">
        <f t="shared" si="16"/>
        <v>-12547.5</v>
      </c>
      <c r="P67" s="32">
        <f>P22-P65</f>
        <v>-134365</v>
      </c>
      <c r="Q67" s="25">
        <f>P67-C67</f>
        <v>-16205</v>
      </c>
      <c r="R67" s="21"/>
    </row>
    <row r="68" spans="1:20" s="5" customFormat="1" ht="15" hidden="1" x14ac:dyDescent="0.25">
      <c r="C68" s="22"/>
      <c r="D68" s="9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7"/>
    </row>
    <row r="69" spans="1:20" s="5" customFormat="1" ht="15" hidden="1" x14ac:dyDescent="0.25">
      <c r="A69" s="12" t="s">
        <v>104</v>
      </c>
      <c r="C69" s="22"/>
      <c r="D69" s="9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7"/>
      <c r="R69" s="23"/>
    </row>
    <row r="70" spans="1:20" s="5" customFormat="1" ht="15" hidden="1" customHeight="1" x14ac:dyDescent="0.25">
      <c r="A70" s="13" t="s">
        <v>105</v>
      </c>
      <c r="B70" s="14" t="s">
        <v>106</v>
      </c>
      <c r="C70" s="22">
        <v>0</v>
      </c>
      <c r="D70" s="96">
        <f t="shared" ref="D70:O72" si="17">$C70/12</f>
        <v>0</v>
      </c>
      <c r="E70" s="15">
        <f t="shared" si="17"/>
        <v>0</v>
      </c>
      <c r="F70" s="15">
        <f t="shared" si="17"/>
        <v>0</v>
      </c>
      <c r="G70" s="15">
        <f t="shared" si="17"/>
        <v>0</v>
      </c>
      <c r="H70" s="15">
        <f t="shared" si="17"/>
        <v>0</v>
      </c>
      <c r="I70" s="15">
        <f t="shared" si="17"/>
        <v>0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 t="shared" si="17"/>
        <v>0</v>
      </c>
      <c r="P70" s="15">
        <v>0</v>
      </c>
      <c r="Q70" s="17">
        <f>P70-C70</f>
        <v>0</v>
      </c>
      <c r="R70" s="18"/>
    </row>
    <row r="71" spans="1:20" s="5" customFormat="1" ht="15" hidden="1" x14ac:dyDescent="0.25">
      <c r="A71" s="13" t="s">
        <v>107</v>
      </c>
      <c r="B71" s="14" t="s">
        <v>108</v>
      </c>
      <c r="C71" s="15">
        <v>118000</v>
      </c>
      <c r="D71" s="96">
        <f t="shared" si="17"/>
        <v>9833.3333333333339</v>
      </c>
      <c r="E71" s="15">
        <f t="shared" si="17"/>
        <v>9833.3333333333339</v>
      </c>
      <c r="F71" s="15">
        <f t="shared" si="17"/>
        <v>9833.3333333333339</v>
      </c>
      <c r="G71" s="15">
        <f t="shared" si="17"/>
        <v>9833.3333333333339</v>
      </c>
      <c r="H71" s="15">
        <f t="shared" si="17"/>
        <v>9833.3333333333339</v>
      </c>
      <c r="I71" s="15">
        <f t="shared" si="17"/>
        <v>9833.3333333333339</v>
      </c>
      <c r="J71" s="15">
        <f t="shared" si="17"/>
        <v>9833.3333333333339</v>
      </c>
      <c r="K71" s="15">
        <f t="shared" si="17"/>
        <v>9833.3333333333339</v>
      </c>
      <c r="L71" s="15">
        <f t="shared" si="17"/>
        <v>9833.3333333333339</v>
      </c>
      <c r="M71" s="15">
        <f t="shared" si="17"/>
        <v>9833.3333333333339</v>
      </c>
      <c r="N71" s="15">
        <f t="shared" si="17"/>
        <v>9833.3333333333339</v>
      </c>
      <c r="O71" s="15">
        <f t="shared" si="17"/>
        <v>9833.3333333333339</v>
      </c>
      <c r="P71" s="15">
        <f>SUM(D71:O71)</f>
        <v>117999.99999999999</v>
      </c>
      <c r="Q71" s="17">
        <f>P71-C71</f>
        <v>0</v>
      </c>
      <c r="R71" s="18"/>
      <c r="T71" s="29"/>
    </row>
    <row r="72" spans="1:20" s="5" customFormat="1" ht="15" hidden="1" x14ac:dyDescent="0.25">
      <c r="A72" s="13" t="s">
        <v>109</v>
      </c>
      <c r="B72" s="14" t="s">
        <v>110</v>
      </c>
      <c r="C72" s="15">
        <v>1000</v>
      </c>
      <c r="D72" s="96">
        <f t="shared" si="17"/>
        <v>83.333333333333329</v>
      </c>
      <c r="E72" s="15">
        <f t="shared" si="17"/>
        <v>83.333333333333329</v>
      </c>
      <c r="F72" s="15">
        <f t="shared" si="17"/>
        <v>83.333333333333329</v>
      </c>
      <c r="G72" s="15">
        <f t="shared" si="17"/>
        <v>83.333333333333329</v>
      </c>
      <c r="H72" s="15">
        <f t="shared" si="17"/>
        <v>83.333333333333329</v>
      </c>
      <c r="I72" s="15">
        <f t="shared" si="17"/>
        <v>83.333333333333329</v>
      </c>
      <c r="J72" s="15">
        <f t="shared" si="17"/>
        <v>83.333333333333329</v>
      </c>
      <c r="K72" s="15">
        <f t="shared" si="17"/>
        <v>83.333333333333329</v>
      </c>
      <c r="L72" s="15">
        <f t="shared" si="17"/>
        <v>83.333333333333329</v>
      </c>
      <c r="M72" s="15">
        <f t="shared" si="17"/>
        <v>83.333333333333329</v>
      </c>
      <c r="N72" s="15">
        <f t="shared" si="17"/>
        <v>83.333333333333329</v>
      </c>
      <c r="O72" s="15">
        <f t="shared" si="17"/>
        <v>83.333333333333329</v>
      </c>
      <c r="P72" s="15">
        <f>SUM(D72:O72)</f>
        <v>1000.0000000000001</v>
      </c>
      <c r="Q72" s="33">
        <f>P72-C72</f>
        <v>0</v>
      </c>
      <c r="R72" s="18"/>
    </row>
    <row r="73" spans="1:20" s="5" customFormat="1" ht="15" hidden="1" x14ac:dyDescent="0.25">
      <c r="A73" s="34"/>
      <c r="C73" s="19">
        <f>SUM(C70:C72)</f>
        <v>119000</v>
      </c>
      <c r="D73" s="97">
        <f t="shared" ref="D73:P73" si="18">SUM(D71:D72)</f>
        <v>9916.6666666666679</v>
      </c>
      <c r="E73" s="19">
        <f t="shared" si="18"/>
        <v>9916.6666666666679</v>
      </c>
      <c r="F73" s="19">
        <f t="shared" si="18"/>
        <v>9916.6666666666679</v>
      </c>
      <c r="G73" s="19">
        <f t="shared" si="18"/>
        <v>9916.6666666666679</v>
      </c>
      <c r="H73" s="19">
        <f t="shared" si="18"/>
        <v>9916.6666666666679</v>
      </c>
      <c r="I73" s="19">
        <f t="shared" si="18"/>
        <v>9916.6666666666679</v>
      </c>
      <c r="J73" s="19">
        <f t="shared" si="18"/>
        <v>9916.6666666666679</v>
      </c>
      <c r="K73" s="19">
        <f t="shared" si="18"/>
        <v>9916.6666666666679</v>
      </c>
      <c r="L73" s="19">
        <f t="shared" si="18"/>
        <v>9916.6666666666679</v>
      </c>
      <c r="M73" s="19">
        <f t="shared" si="18"/>
        <v>9916.6666666666679</v>
      </c>
      <c r="N73" s="19">
        <f t="shared" si="18"/>
        <v>9916.6666666666679</v>
      </c>
      <c r="O73" s="19">
        <f t="shared" si="18"/>
        <v>9916.6666666666679</v>
      </c>
      <c r="P73" s="19">
        <f t="shared" si="18"/>
        <v>118999.99999999999</v>
      </c>
      <c r="Q73" s="17">
        <v>0</v>
      </c>
      <c r="R73" s="21"/>
    </row>
    <row r="74" spans="1:20" s="5" customFormat="1" ht="15.75" hidden="1" thickBot="1" x14ac:dyDescent="0.3">
      <c r="C74" s="22"/>
      <c r="D74" s="9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35"/>
    </row>
    <row r="75" spans="1:20" s="5" customFormat="1" ht="16.5" thickBot="1" x14ac:dyDescent="0.3">
      <c r="A75" s="36" t="s">
        <v>111</v>
      </c>
      <c r="B75" s="37"/>
      <c r="C75" s="92">
        <f>+C67+C73</f>
        <v>840</v>
      </c>
      <c r="D75" s="103">
        <f t="shared" ref="D75:P75" si="19">D67+D73</f>
        <v>70</v>
      </c>
      <c r="E75" s="92">
        <f t="shared" si="19"/>
        <v>70</v>
      </c>
      <c r="F75" s="92">
        <f t="shared" si="19"/>
        <v>70</v>
      </c>
      <c r="G75" s="92">
        <f t="shared" si="19"/>
        <v>70</v>
      </c>
      <c r="H75" s="92">
        <f t="shared" si="19"/>
        <v>70</v>
      </c>
      <c r="I75" s="92">
        <f t="shared" si="19"/>
        <v>70</v>
      </c>
      <c r="J75" s="38">
        <f t="shared" si="19"/>
        <v>-2630.8333333333321</v>
      </c>
      <c r="K75" s="38">
        <f t="shared" si="19"/>
        <v>-2630.8333333333321</v>
      </c>
      <c r="L75" s="38">
        <f t="shared" si="19"/>
        <v>-2630.8333333333321</v>
      </c>
      <c r="M75" s="38">
        <f t="shared" si="19"/>
        <v>-2630.8333333333321</v>
      </c>
      <c r="N75" s="38">
        <f t="shared" si="19"/>
        <v>-2630.8333333333321</v>
      </c>
      <c r="O75" s="38">
        <f t="shared" si="19"/>
        <v>-2630.8333333333321</v>
      </c>
      <c r="P75" s="38">
        <f t="shared" si="19"/>
        <v>-15365.000000000015</v>
      </c>
      <c r="Q75" s="28">
        <f>P75-C75</f>
        <v>-16205.000000000015</v>
      </c>
      <c r="R75" s="21"/>
    </row>
    <row r="76" spans="1:20" s="5" customFormat="1" ht="16.5" thickTop="1" x14ac:dyDescent="0.25">
      <c r="A76" s="36"/>
      <c r="B76" s="37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0"/>
      <c r="R76" s="21"/>
    </row>
    <row r="77" spans="1:20" s="5" customFormat="1" ht="15.75" x14ac:dyDescent="0.25">
      <c r="A77" s="36"/>
      <c r="B77" s="3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260" t="s">
        <v>112</v>
      </c>
      <c r="P77" s="261">
        <f>P75-C75</f>
        <v>-16205.000000000015</v>
      </c>
      <c r="Q77" s="40"/>
      <c r="R77" s="21"/>
    </row>
    <row r="78" spans="1:20" s="5" customFormat="1" ht="15.75" x14ac:dyDescent="0.25">
      <c r="A78" s="36"/>
      <c r="B78" s="3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  <c r="R78" s="21"/>
    </row>
    <row r="79" spans="1:20" s="5" customFormat="1" ht="18" x14ac:dyDescent="0.4">
      <c r="A79" s="36"/>
      <c r="B79" s="3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3" t="s">
        <v>113</v>
      </c>
      <c r="Q79" s="44"/>
      <c r="R79" s="21"/>
    </row>
    <row r="80" spans="1:20" s="5" customFormat="1" ht="15.75" x14ac:dyDescent="0.25">
      <c r="A80" s="36"/>
      <c r="B80" s="37"/>
      <c r="C80" s="39"/>
      <c r="D80" s="39"/>
      <c r="E80" s="39"/>
      <c r="G80" s="39"/>
      <c r="H80" s="39"/>
      <c r="I80" s="39"/>
      <c r="J80" s="39"/>
      <c r="K80" s="39"/>
      <c r="L80" s="39"/>
      <c r="M80" s="39"/>
      <c r="N80" s="39"/>
      <c r="O80" s="45" t="s">
        <v>49</v>
      </c>
      <c r="P80" s="48">
        <f>Q29</f>
        <v>1190</v>
      </c>
      <c r="Q80" s="44"/>
      <c r="R80" s="21"/>
    </row>
    <row r="81" spans="1:19" s="5" customFormat="1" ht="15.75" x14ac:dyDescent="0.25">
      <c r="A81" s="36"/>
      <c r="B81" s="37"/>
      <c r="C81" s="39"/>
      <c r="D81" s="39"/>
      <c r="E81" s="39"/>
      <c r="G81" s="39"/>
      <c r="H81" s="39"/>
      <c r="I81" s="39"/>
      <c r="J81" s="39"/>
      <c r="K81" s="39"/>
      <c r="L81" s="39"/>
      <c r="M81" s="39"/>
      <c r="N81" s="39"/>
      <c r="O81" s="45" t="s">
        <v>53</v>
      </c>
      <c r="P81" s="48">
        <f>Q31</f>
        <v>540</v>
      </c>
      <c r="Q81" s="44"/>
      <c r="R81" s="21"/>
    </row>
    <row r="82" spans="1:19" s="5" customFormat="1" ht="15.75" x14ac:dyDescent="0.25">
      <c r="A82" s="36"/>
      <c r="B82" s="37"/>
      <c r="C82" s="39"/>
      <c r="D82" s="39"/>
      <c r="E82" s="39"/>
      <c r="G82" s="39"/>
      <c r="H82" s="39"/>
      <c r="I82" s="39"/>
      <c r="J82" s="39"/>
      <c r="K82" s="39"/>
      <c r="L82" s="39"/>
      <c r="M82" s="39"/>
      <c r="N82" s="39"/>
      <c r="O82" s="45" t="s">
        <v>59</v>
      </c>
      <c r="P82" s="48">
        <f>Q34</f>
        <v>950</v>
      </c>
      <c r="Q82" s="44"/>
      <c r="R82" s="21"/>
    </row>
    <row r="83" spans="1:19" s="5" customFormat="1" ht="15.75" x14ac:dyDescent="0.25">
      <c r="A83" s="36"/>
      <c r="B83" s="37"/>
      <c r="C83" s="39"/>
      <c r="D83" s="39"/>
      <c r="E83" s="39"/>
      <c r="G83" s="39"/>
      <c r="H83" s="39"/>
      <c r="I83" s="39"/>
      <c r="J83" s="39"/>
      <c r="K83" s="39"/>
      <c r="L83" s="39"/>
      <c r="M83" s="39"/>
      <c r="N83" s="39"/>
      <c r="O83" s="45" t="s">
        <v>67</v>
      </c>
      <c r="P83" s="48">
        <f>Q49</f>
        <v>13525</v>
      </c>
      <c r="Q83" s="44"/>
      <c r="R83" s="21"/>
    </row>
    <row r="84" spans="1:19" s="5" customFormat="1" ht="15.75" x14ac:dyDescent="0.25">
      <c r="A84" s="36"/>
      <c r="B84" s="37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50"/>
      <c r="P84" s="51">
        <f>SUM(P80:P83)</f>
        <v>16205</v>
      </c>
      <c r="Q84" s="44"/>
      <c r="R84" s="21"/>
    </row>
    <row r="85" spans="1:19" s="5" customFormat="1" ht="15.75" x14ac:dyDescent="0.25">
      <c r="A85" s="36"/>
      <c r="B85" s="37"/>
      <c r="C85" s="39"/>
      <c r="D85" s="39"/>
      <c r="E85" s="39"/>
      <c r="F85" s="39"/>
      <c r="G85" s="39"/>
      <c r="H85" s="39"/>
      <c r="I85" s="39"/>
      <c r="J85" s="39"/>
      <c r="K85" s="52"/>
      <c r="L85" s="39"/>
      <c r="M85" s="39"/>
      <c r="N85" s="39"/>
      <c r="O85" s="50"/>
      <c r="P85" s="48"/>
      <c r="Q85" s="44"/>
      <c r="R85" s="21"/>
    </row>
    <row r="86" spans="1:19" s="5" customFormat="1" ht="15.75" x14ac:dyDescent="0.25">
      <c r="A86" s="36"/>
      <c r="B86" s="37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0"/>
      <c r="P86" s="39"/>
      <c r="Q86" s="53"/>
    </row>
    <row r="87" spans="1:19" s="55" customFormat="1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4"/>
    </row>
    <row r="88" spans="1:19" s="55" customFormat="1" ht="15" x14ac:dyDescent="0.25">
      <c r="B88" s="56" t="s">
        <v>127</v>
      </c>
      <c r="C88" s="57" t="s">
        <v>128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"/>
      <c r="R88" s="54"/>
    </row>
    <row r="89" spans="1:19" s="55" customFormat="1" ht="15" x14ac:dyDescent="0.25">
      <c r="B89" s="59"/>
      <c r="C89" s="60" t="s">
        <v>129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5"/>
      <c r="R89" s="54"/>
    </row>
    <row r="90" spans="1:19" s="55" customFormat="1" ht="15" x14ac:dyDescent="0.25">
      <c r="B90" s="59"/>
      <c r="C90" s="60" t="s">
        <v>130</v>
      </c>
      <c r="D90" s="62">
        <f t="shared" ref="D90:P90" si="20">SUM(D88:D89)</f>
        <v>0</v>
      </c>
      <c r="E90" s="62">
        <f t="shared" si="20"/>
        <v>0</v>
      </c>
      <c r="F90" s="62">
        <f t="shared" si="20"/>
        <v>0</v>
      </c>
      <c r="G90" s="62">
        <f t="shared" si="20"/>
        <v>0</v>
      </c>
      <c r="H90" s="62">
        <f t="shared" si="20"/>
        <v>0</v>
      </c>
      <c r="I90" s="62">
        <f t="shared" si="20"/>
        <v>0</v>
      </c>
      <c r="J90" s="62">
        <f t="shared" si="20"/>
        <v>0</v>
      </c>
      <c r="K90" s="62">
        <f t="shared" si="20"/>
        <v>0</v>
      </c>
      <c r="L90" s="62">
        <f t="shared" si="20"/>
        <v>0</v>
      </c>
      <c r="M90" s="62">
        <f t="shared" si="20"/>
        <v>0</v>
      </c>
      <c r="N90" s="62">
        <f t="shared" si="20"/>
        <v>0</v>
      </c>
      <c r="O90" s="62">
        <f t="shared" si="20"/>
        <v>0</v>
      </c>
      <c r="P90" s="62">
        <f t="shared" si="20"/>
        <v>0</v>
      </c>
      <c r="Q90" s="63"/>
      <c r="R90" s="63"/>
    </row>
    <row r="91" spans="1:19" s="15" customFormat="1" ht="15" x14ac:dyDescent="0.25">
      <c r="A91" s="55"/>
      <c r="B91" s="64" t="s">
        <v>131</v>
      </c>
      <c r="C91" s="65"/>
      <c r="D91" s="66" t="e">
        <f>D88/$P$88</f>
        <v>#DIV/0!</v>
      </c>
      <c r="E91" s="66" t="e">
        <f>E88/$P$88</f>
        <v>#DIV/0!</v>
      </c>
      <c r="F91" s="66" t="e">
        <f>F88/$P$88</f>
        <v>#DIV/0!</v>
      </c>
      <c r="G91" s="66" t="e">
        <f>G88/$P$88</f>
        <v>#DIV/0!</v>
      </c>
      <c r="H91" s="66" t="e">
        <f>H88/$P$88</f>
        <v>#DIV/0!</v>
      </c>
      <c r="I91" s="66" t="e">
        <f>I88/$P$88</f>
        <v>#DIV/0!</v>
      </c>
      <c r="J91" s="66" t="e">
        <f>J88/$P$88</f>
        <v>#DIV/0!</v>
      </c>
      <c r="K91" s="66" t="e">
        <f>K88/$P$88</f>
        <v>#DIV/0!</v>
      </c>
      <c r="L91" s="66" t="e">
        <f>L88/$P$88</f>
        <v>#DIV/0!</v>
      </c>
      <c r="M91" s="66" t="e">
        <f>M88/$P$88</f>
        <v>#DIV/0!</v>
      </c>
      <c r="N91" s="66" t="e">
        <f>N88/$P$88</f>
        <v>#DIV/0!</v>
      </c>
      <c r="O91" s="66" t="e">
        <f>O88/$P$88</f>
        <v>#DIV/0!</v>
      </c>
      <c r="P91" s="66" t="e">
        <f>P88/$P$88</f>
        <v>#DIV/0!</v>
      </c>
      <c r="Q91" s="67"/>
      <c r="R91" s="67"/>
      <c r="S91" s="68"/>
    </row>
    <row r="92" spans="1:19" s="15" customFormat="1" ht="14.25" customHeight="1" x14ac:dyDescent="0.25">
      <c r="B92" s="69"/>
      <c r="C92" s="70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67"/>
      <c r="R92" s="67"/>
    </row>
    <row r="93" spans="1:19" s="5" customFormat="1" ht="14.1" customHeight="1" x14ac:dyDescent="0.25">
      <c r="A93" s="15"/>
      <c r="B93" s="72" t="s">
        <v>131</v>
      </c>
      <c r="C93" s="73"/>
      <c r="D93" s="74" t="e">
        <f t="shared" ref="D93:P93" si="21">D91</f>
        <v>#DIV/0!</v>
      </c>
      <c r="E93" s="74" t="e">
        <f t="shared" si="21"/>
        <v>#DIV/0!</v>
      </c>
      <c r="F93" s="74" t="e">
        <f t="shared" si="21"/>
        <v>#DIV/0!</v>
      </c>
      <c r="G93" s="74" t="e">
        <f t="shared" si="21"/>
        <v>#DIV/0!</v>
      </c>
      <c r="H93" s="74" t="e">
        <f t="shared" si="21"/>
        <v>#DIV/0!</v>
      </c>
      <c r="I93" s="74" t="e">
        <f t="shared" si="21"/>
        <v>#DIV/0!</v>
      </c>
      <c r="J93" s="74" t="e">
        <f t="shared" si="21"/>
        <v>#DIV/0!</v>
      </c>
      <c r="K93" s="74" t="e">
        <f t="shared" si="21"/>
        <v>#DIV/0!</v>
      </c>
      <c r="L93" s="74" t="e">
        <f t="shared" si="21"/>
        <v>#DIV/0!</v>
      </c>
      <c r="M93" s="74" t="e">
        <f t="shared" si="21"/>
        <v>#DIV/0!</v>
      </c>
      <c r="N93" s="74" t="e">
        <f t="shared" si="21"/>
        <v>#DIV/0!</v>
      </c>
      <c r="O93" s="74" t="e">
        <f t="shared" si="21"/>
        <v>#DIV/0!</v>
      </c>
      <c r="P93" s="74" t="e">
        <f t="shared" si="21"/>
        <v>#DIV/0!</v>
      </c>
      <c r="Q93" s="67"/>
      <c r="R93" s="67"/>
    </row>
    <row r="94" spans="1:19" s="5" customFormat="1" ht="14.1" customHeight="1" x14ac:dyDescent="0.25">
      <c r="B94" s="75"/>
      <c r="D94" s="5">
        <v>2</v>
      </c>
      <c r="E94" s="5">
        <v>2</v>
      </c>
      <c r="F94" s="5">
        <v>2</v>
      </c>
      <c r="G94" s="5">
        <v>3</v>
      </c>
      <c r="H94" s="5">
        <v>2</v>
      </c>
      <c r="I94" s="5">
        <v>2</v>
      </c>
      <c r="J94" s="5">
        <v>2</v>
      </c>
      <c r="K94" s="5">
        <v>2</v>
      </c>
      <c r="L94" s="5">
        <v>2</v>
      </c>
      <c r="M94" s="5">
        <v>3</v>
      </c>
      <c r="N94" s="5">
        <v>2</v>
      </c>
      <c r="O94" s="5">
        <v>2</v>
      </c>
      <c r="P94" s="5">
        <v>2</v>
      </c>
      <c r="Q94" s="67"/>
      <c r="R94" s="67"/>
    </row>
    <row r="95" spans="1:19" s="15" customFormat="1" ht="14.25" customHeight="1" x14ac:dyDescent="0.25">
      <c r="A95" s="5"/>
      <c r="B95" s="75"/>
      <c r="C95" s="5"/>
      <c r="D95" s="31" t="s">
        <v>133</v>
      </c>
      <c r="E95" s="31" t="s">
        <v>134</v>
      </c>
      <c r="F95" s="31" t="s">
        <v>135</v>
      </c>
      <c r="G95" s="31" t="s">
        <v>136</v>
      </c>
      <c r="H95" s="31" t="s">
        <v>137</v>
      </c>
      <c r="I95" s="31" t="s">
        <v>138</v>
      </c>
      <c r="J95" s="31" t="s">
        <v>139</v>
      </c>
      <c r="K95" s="31" t="s">
        <v>140</v>
      </c>
      <c r="L95" s="31" t="s">
        <v>141</v>
      </c>
      <c r="M95" s="31" t="s">
        <v>142</v>
      </c>
      <c r="N95" s="31" t="s">
        <v>143</v>
      </c>
      <c r="O95" s="31" t="s">
        <v>144</v>
      </c>
      <c r="P95" s="31" t="s">
        <v>144</v>
      </c>
      <c r="Q95" s="67"/>
      <c r="R95" s="67"/>
    </row>
    <row r="96" spans="1:19" s="15" customFormat="1" ht="15" x14ac:dyDescent="0.25">
      <c r="B96" s="76" t="s">
        <v>145</v>
      </c>
      <c r="C96" s="60" t="s">
        <v>146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67"/>
      <c r="R96" s="67"/>
    </row>
    <row r="97" spans="1:18" s="15" customFormat="1" ht="15" x14ac:dyDescent="0.25">
      <c r="B97" s="76"/>
      <c r="C97" s="60" t="s">
        <v>129</v>
      </c>
      <c r="D97" s="78" t="e">
        <f ca="1">D99-D98</f>
        <v>#DIV/0!</v>
      </c>
      <c r="E97" s="78" t="e">
        <f t="shared" ref="E97:P97" ca="1" si="22">E99-E98</f>
        <v>#DIV/0!</v>
      </c>
      <c r="F97" s="78" t="e">
        <f t="shared" ca="1" si="22"/>
        <v>#DIV/0!</v>
      </c>
      <c r="G97" s="78" t="e">
        <f t="shared" ca="1" si="22"/>
        <v>#DIV/0!</v>
      </c>
      <c r="H97" s="78" t="e">
        <f t="shared" ca="1" si="22"/>
        <v>#DIV/0!</v>
      </c>
      <c r="I97" s="78" t="e">
        <f t="shared" ca="1" si="22"/>
        <v>#DIV/0!</v>
      </c>
      <c r="J97" s="78" t="e">
        <f t="shared" ca="1" si="22"/>
        <v>#DIV/0!</v>
      </c>
      <c r="K97" s="78" t="e">
        <f t="shared" ca="1" si="22"/>
        <v>#DIV/0!</v>
      </c>
      <c r="L97" s="78" t="e">
        <f t="shared" ca="1" si="22"/>
        <v>#DIV/0!</v>
      </c>
      <c r="M97" s="78" t="e">
        <f t="shared" ca="1" si="22"/>
        <v>#DIV/0!</v>
      </c>
      <c r="N97" s="78" t="e">
        <f t="shared" ca="1" si="22"/>
        <v>#DIV/0!</v>
      </c>
      <c r="O97" s="78" t="e">
        <f t="shared" ca="1" si="22"/>
        <v>#DIV/0!</v>
      </c>
      <c r="P97" s="78" t="e">
        <f t="shared" ca="1" si="22"/>
        <v>#DIV/0!</v>
      </c>
      <c r="Q97" s="67"/>
      <c r="R97" s="67"/>
    </row>
    <row r="98" spans="1:18" s="15" customFormat="1" ht="15" x14ac:dyDescent="0.25">
      <c r="B98" s="76"/>
      <c r="C98" s="60" t="s">
        <v>128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9"/>
      <c r="R98" s="67"/>
    </row>
    <row r="99" spans="1:18" s="15" customFormat="1" ht="15" x14ac:dyDescent="0.25">
      <c r="B99" s="76"/>
      <c r="C99" s="60" t="s">
        <v>147</v>
      </c>
      <c r="D99" s="62" t="e">
        <f ca="1">D93*$P$99</f>
        <v>#DIV/0!</v>
      </c>
      <c r="E99" s="62" t="e">
        <f ca="1">E93*$P$99</f>
        <v>#DIV/0!</v>
      </c>
      <c r="F99" s="62" t="e">
        <f ca="1">F93*$P$99</f>
        <v>#DIV/0!</v>
      </c>
      <c r="G99" s="62" t="e">
        <f ca="1">G93*$P$99</f>
        <v>#DIV/0!</v>
      </c>
      <c r="H99" s="62" t="e">
        <f ca="1">H93*$P$99</f>
        <v>#DIV/0!</v>
      </c>
      <c r="I99" s="62" t="e">
        <f ca="1">I93*$P$99</f>
        <v>#DIV/0!</v>
      </c>
      <c r="J99" s="62" t="e">
        <f ca="1">J93*$P$99</f>
        <v>#DIV/0!</v>
      </c>
      <c r="K99" s="62" t="e">
        <f ca="1">K93*$P$99</f>
        <v>#DIV/0!</v>
      </c>
      <c r="L99" s="62" t="e">
        <f ca="1">L93*$P$99</f>
        <v>#DIV/0!</v>
      </c>
      <c r="M99" s="62" t="e">
        <f ca="1">M93*$P$99</f>
        <v>#DIV/0!</v>
      </c>
      <c r="N99" s="62" t="e">
        <f ca="1">N93*$P$99</f>
        <v>#DIV/0!</v>
      </c>
      <c r="O99" s="62" t="e">
        <f ca="1">O93*$P$99</f>
        <v>#DIV/0!</v>
      </c>
      <c r="P99" s="62" t="e">
        <f ca="1">P93*$P$99</f>
        <v>#DIV/0!</v>
      </c>
      <c r="Q99" s="67"/>
      <c r="R99" s="67"/>
    </row>
    <row r="100" spans="1:18" s="15" customFormat="1" ht="15" x14ac:dyDescent="0.25">
      <c r="B100" s="76"/>
      <c r="C100" s="60" t="s">
        <v>148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67"/>
      <c r="R100" s="67"/>
    </row>
    <row r="101" spans="1:18" s="15" customFormat="1" ht="15" x14ac:dyDescent="0.25">
      <c r="B101" s="76"/>
      <c r="C101" s="60" t="s">
        <v>149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67"/>
      <c r="R101" s="67"/>
    </row>
    <row r="102" spans="1:18" s="5" customFormat="1" ht="15" x14ac:dyDescent="0.25">
      <c r="A102" s="15"/>
      <c r="B102" s="81"/>
      <c r="C102" s="65" t="s">
        <v>150</v>
      </c>
      <c r="D102" s="82" t="e">
        <f ca="1">SUM(D99:D101)</f>
        <v>#DIV/0!</v>
      </c>
      <c r="E102" s="82" t="e">
        <f t="shared" ref="E102:P102" ca="1" si="23">SUM(E99:E101)</f>
        <v>#DIV/0!</v>
      </c>
      <c r="F102" s="82" t="e">
        <f t="shared" ca="1" si="23"/>
        <v>#DIV/0!</v>
      </c>
      <c r="G102" s="82" t="e">
        <f t="shared" ca="1" si="23"/>
        <v>#DIV/0!</v>
      </c>
      <c r="H102" s="82" t="e">
        <f t="shared" ca="1" si="23"/>
        <v>#DIV/0!</v>
      </c>
      <c r="I102" s="82" t="e">
        <f t="shared" ca="1" si="23"/>
        <v>#DIV/0!</v>
      </c>
      <c r="J102" s="82" t="e">
        <f t="shared" ca="1" si="23"/>
        <v>#DIV/0!</v>
      </c>
      <c r="K102" s="82" t="e">
        <f t="shared" ca="1" si="23"/>
        <v>#DIV/0!</v>
      </c>
      <c r="L102" s="82" t="e">
        <f t="shared" ca="1" si="23"/>
        <v>#DIV/0!</v>
      </c>
      <c r="M102" s="82" t="e">
        <f t="shared" ca="1" si="23"/>
        <v>#DIV/0!</v>
      </c>
      <c r="N102" s="82" t="e">
        <f t="shared" ca="1" si="23"/>
        <v>#DIV/0!</v>
      </c>
      <c r="O102" s="82" t="e">
        <f t="shared" ca="1" si="23"/>
        <v>#DIV/0!</v>
      </c>
      <c r="P102" s="82" t="e">
        <f t="shared" ca="1" si="23"/>
        <v>#DIV/0!</v>
      </c>
    </row>
    <row r="103" spans="1:18" s="5" customFormat="1" ht="15" x14ac:dyDescent="0.25">
      <c r="B103" s="83" t="s">
        <v>151</v>
      </c>
    </row>
    <row r="104" spans="1:18" s="5" customFormat="1" ht="15" x14ac:dyDescent="0.25">
      <c r="B104" s="83" t="s">
        <v>152</v>
      </c>
    </row>
    <row r="105" spans="1:18" s="5" customFormat="1" ht="15" x14ac:dyDescent="0.25">
      <c r="B105" s="83" t="s">
        <v>153</v>
      </c>
    </row>
    <row r="106" spans="1:18" s="5" customFormat="1" ht="15" x14ac:dyDescent="0.25">
      <c r="B106" s="83" t="s">
        <v>154</v>
      </c>
    </row>
    <row r="107" spans="1:18" s="5" customFormat="1" ht="15" x14ac:dyDescent="0.25"/>
    <row r="108" spans="1:18" s="5" customFormat="1" ht="15" x14ac:dyDescent="0.25"/>
    <row r="109" spans="1:18" s="5" customFormat="1" ht="15" x14ac:dyDescent="0.25">
      <c r="B109" s="5" t="s">
        <v>155</v>
      </c>
      <c r="C109" s="84">
        <f>C14</f>
        <v>149500</v>
      </c>
    </row>
    <row r="110" spans="1:18" s="5" customFormat="1" ht="15" x14ac:dyDescent="0.25">
      <c r="B110" s="5" t="s">
        <v>156</v>
      </c>
      <c r="C110" s="84">
        <f>C73</f>
        <v>119000</v>
      </c>
    </row>
    <row r="111" spans="1:18" s="5" customFormat="1" ht="15.75" thickBot="1" x14ac:dyDescent="0.3">
      <c r="C111" s="85">
        <f>SUM(C109:C110)</f>
        <v>268500</v>
      </c>
    </row>
    <row r="112" spans="1:18" s="5" customFormat="1" ht="15" x14ac:dyDescent="0.25">
      <c r="B112" s="5" t="s">
        <v>157</v>
      </c>
      <c r="C112" s="84">
        <f>C20</f>
        <v>168000</v>
      </c>
      <c r="D112" s="86">
        <f>C112/C111</f>
        <v>0.62569832402234637</v>
      </c>
    </row>
    <row r="113" spans="1:16" s="5" customFormat="1" ht="15" x14ac:dyDescent="0.25">
      <c r="B113" s="5" t="s">
        <v>40</v>
      </c>
      <c r="C113" s="84">
        <f>C65</f>
        <v>99660</v>
      </c>
      <c r="D113" s="86">
        <f>C113/C111</f>
        <v>0.37117318435754187</v>
      </c>
    </row>
    <row r="114" spans="1:16" s="5" customFormat="1" ht="15" x14ac:dyDescent="0.25"/>
    <row r="115" spans="1:16" s="5" customFormat="1" ht="15" x14ac:dyDescent="0.25"/>
    <row r="116" spans="1:16" s="5" customFormat="1" ht="15" x14ac:dyDescent="0.25"/>
    <row r="117" spans="1:16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">
      <c r="C118" s="1">
        <f>4187/12</f>
        <v>348.91666666666669</v>
      </c>
    </row>
    <row r="119" spans="1:16" x14ac:dyDescent="0.2">
      <c r="A119" s="1" t="s">
        <v>158</v>
      </c>
    </row>
    <row r="120" spans="1:16" x14ac:dyDescent="0.2">
      <c r="A120" s="1" t="s">
        <v>159</v>
      </c>
      <c r="B120" s="87">
        <v>-24532.858821659269</v>
      </c>
    </row>
    <row r="121" spans="1:16" x14ac:dyDescent="0.2">
      <c r="A121" s="1" t="s">
        <v>160</v>
      </c>
      <c r="B121" s="87">
        <v>-10132.494053306495</v>
      </c>
    </row>
    <row r="122" spans="1:16" x14ac:dyDescent="0.2">
      <c r="A122" s="1" t="s">
        <v>161</v>
      </c>
      <c r="B122" s="87">
        <v>-19801.664928541672</v>
      </c>
    </row>
    <row r="123" spans="1:16" x14ac:dyDescent="0.2">
      <c r="B123" s="87">
        <f>SUM(B120:B122)</f>
        <v>-54467.017803507435</v>
      </c>
    </row>
    <row r="125" spans="1:16" x14ac:dyDescent="0.2">
      <c r="B125" s="88">
        <f>B123-P75</f>
        <v>-39102.01780350742</v>
      </c>
    </row>
  </sheetData>
  <mergeCells count="1">
    <mergeCell ref="R4:R5"/>
  </mergeCells>
  <conditionalFormatting sqref="Q6:Q21 Q23:Q73 Q79:Q85">
    <cfRule type="cellIs" dxfId="5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9643-A0D1-45D7-9BE1-C368086631C6}">
  <sheetPr>
    <tabColor rgb="FF92D050"/>
    <pageSetUpPr fitToPage="1"/>
  </sheetPr>
  <dimension ref="A1:M91"/>
  <sheetViews>
    <sheetView showGridLines="0" zoomScaleNormal="100" workbookViewId="0">
      <pane ySplit="5" topLeftCell="A21" activePane="bottomLeft" state="frozen"/>
      <selection activeCell="A48" activeCellId="1" sqref="A44:XFD45 A48:XFD48"/>
      <selection pane="bottomLeft" activeCell="J34" sqref="G34:J34"/>
    </sheetView>
  </sheetViews>
  <sheetFormatPr defaultColWidth="9.140625" defaultRowHeight="12.75" x14ac:dyDescent="0.2"/>
  <cols>
    <col min="1" max="1" width="35.5703125" style="1" customWidth="1"/>
    <col min="2" max="2" width="12.7109375" style="130" customWidth="1"/>
    <col min="3" max="3" width="12.7109375" style="1" customWidth="1"/>
    <col min="4" max="5" width="12.7109375" style="134" customWidth="1"/>
    <col min="6" max="7" width="12.7109375" style="1" customWidth="1"/>
    <col min="8" max="9" width="12.7109375" style="134" customWidth="1"/>
    <col min="10" max="10" width="47.28515625" style="134" customWidth="1"/>
    <col min="11" max="16384" width="9.140625" style="1"/>
  </cols>
  <sheetData>
    <row r="1" spans="1:12" ht="12.75" hidden="1" customHeight="1" x14ac:dyDescent="0.2">
      <c r="A1" s="1" t="str">
        <f ca="1">CELL("filename",A1)</f>
        <v>https://qmow.sharepoint.com/sites/Operations/Webinars/2024/Budgeting/Part 3/[MOW Budget Example Part 3.xlsx]A v B</v>
      </c>
    </row>
    <row r="2" spans="1:12" ht="12.75" hidden="1" customHeight="1" x14ac:dyDescent="0.2">
      <c r="A2" s="2" t="str">
        <f ca="1">RIGHT(A1,LEN(A1)-SEARCH("]",A1))</f>
        <v>A v B</v>
      </c>
    </row>
    <row r="3" spans="1:12" ht="26.25" x14ac:dyDescent="0.4">
      <c r="A3" s="3" t="s">
        <v>9</v>
      </c>
      <c r="B3" s="94" t="s">
        <v>177</v>
      </c>
      <c r="C3" s="94"/>
      <c r="D3" s="135"/>
      <c r="E3" s="135"/>
      <c r="F3" s="94"/>
      <c r="G3" s="94"/>
      <c r="H3" s="135"/>
      <c r="I3" s="135"/>
      <c r="J3" s="158"/>
    </row>
    <row r="4" spans="1:12" s="5" customFormat="1" ht="36" hidden="1" customHeight="1" x14ac:dyDescent="0.25">
      <c r="B4" s="131">
        <v>2</v>
      </c>
      <c r="C4" s="5">
        <v>2</v>
      </c>
      <c r="D4" s="136">
        <v>2</v>
      </c>
      <c r="E4" s="136">
        <v>2</v>
      </c>
      <c r="F4" s="5">
        <v>2</v>
      </c>
      <c r="G4" s="5">
        <v>2</v>
      </c>
      <c r="H4" s="136">
        <v>2</v>
      </c>
      <c r="I4" s="136">
        <v>2</v>
      </c>
      <c r="J4" s="136"/>
    </row>
    <row r="5" spans="1:12" s="5" customFormat="1" ht="30" x14ac:dyDescent="0.25">
      <c r="A5" s="7"/>
      <c r="B5" s="129" t="s">
        <v>176</v>
      </c>
      <c r="C5" s="93" t="s">
        <v>172</v>
      </c>
      <c r="D5" s="141" t="s">
        <v>173</v>
      </c>
      <c r="E5" s="149" t="s">
        <v>174</v>
      </c>
      <c r="F5" s="95" t="s">
        <v>175</v>
      </c>
      <c r="G5" s="93" t="s">
        <v>172</v>
      </c>
      <c r="H5" s="141" t="s">
        <v>173</v>
      </c>
      <c r="I5" s="149" t="s">
        <v>174</v>
      </c>
      <c r="J5" s="159" t="s">
        <v>178</v>
      </c>
    </row>
    <row r="6" spans="1:12" s="5" customFormat="1" ht="15" x14ac:dyDescent="0.25">
      <c r="B6" s="132"/>
      <c r="D6" s="142"/>
      <c r="E6" s="150"/>
      <c r="F6" s="75"/>
      <c r="H6" s="142"/>
      <c r="I6" s="150"/>
      <c r="J6" s="160"/>
    </row>
    <row r="7" spans="1:12" s="5" customFormat="1" ht="15" x14ac:dyDescent="0.25">
      <c r="A7" s="12" t="s">
        <v>19</v>
      </c>
      <c r="B7" s="132"/>
      <c r="D7" s="142"/>
      <c r="E7" s="151"/>
      <c r="F7" s="75"/>
      <c r="H7" s="142"/>
      <c r="I7" s="151"/>
      <c r="J7" s="161"/>
    </row>
    <row r="8" spans="1:12" s="5" customFormat="1" ht="15" x14ac:dyDescent="0.25">
      <c r="A8" s="13" t="s">
        <v>20</v>
      </c>
      <c r="B8" s="133">
        <v>10652</v>
      </c>
      <c r="C8" s="138">
        <v>10541.666666666666</v>
      </c>
      <c r="D8" s="143">
        <f>B8-C8</f>
        <v>110.33333333333394</v>
      </c>
      <c r="E8" s="151">
        <f>IF(C8,D8/C8,0)</f>
        <v>1.0466403162055394E-2</v>
      </c>
      <c r="F8" s="96">
        <v>65125</v>
      </c>
      <c r="G8" s="138">
        <f>C8*6</f>
        <v>63250</v>
      </c>
      <c r="H8" s="143">
        <f>F8-G8</f>
        <v>1875</v>
      </c>
      <c r="I8" s="151">
        <f>IF(G8,H8/G8,0)</f>
        <v>2.9644268774703556E-2</v>
      </c>
      <c r="J8" s="161" t="s">
        <v>225</v>
      </c>
      <c r="L8" s="5" t="s">
        <v>219</v>
      </c>
    </row>
    <row r="9" spans="1:12" s="5" customFormat="1" ht="15" x14ac:dyDescent="0.25">
      <c r="A9" s="13" t="s">
        <v>22</v>
      </c>
      <c r="B9" s="133">
        <v>967</v>
      </c>
      <c r="C9" s="138">
        <v>916.66666666666663</v>
      </c>
      <c r="D9" s="143">
        <f t="shared" ref="D9:D13" si="0">B9-C9</f>
        <v>50.333333333333371</v>
      </c>
      <c r="E9" s="151">
        <f t="shared" ref="E9:E13" si="1">IF(C9,D9/C9,0)</f>
        <v>5.4909090909090956E-2</v>
      </c>
      <c r="F9" s="96">
        <v>5800</v>
      </c>
      <c r="G9" s="138">
        <f>C9*6</f>
        <v>5500</v>
      </c>
      <c r="H9" s="143">
        <f t="shared" ref="H9:H13" si="2">F9-G9</f>
        <v>300</v>
      </c>
      <c r="I9" s="151">
        <f t="shared" ref="I9:I13" si="3">IF(G9,H9/G9,0)</f>
        <v>5.4545454545454543E-2</v>
      </c>
      <c r="J9" s="161" t="s">
        <v>218</v>
      </c>
      <c r="L9" s="5" t="s">
        <v>220</v>
      </c>
    </row>
    <row r="10" spans="1:12" s="5" customFormat="1" ht="15" x14ac:dyDescent="0.25">
      <c r="A10" s="13" t="s">
        <v>24</v>
      </c>
      <c r="B10" s="133">
        <v>520</v>
      </c>
      <c r="C10" s="138">
        <v>583.33333333333337</v>
      </c>
      <c r="D10" s="143">
        <f t="shared" si="0"/>
        <v>-63.333333333333371</v>
      </c>
      <c r="E10" s="151">
        <f t="shared" si="1"/>
        <v>-0.10857142857142862</v>
      </c>
      <c r="F10" s="96">
        <v>3000</v>
      </c>
      <c r="G10" s="138">
        <f>C10*6</f>
        <v>3500</v>
      </c>
      <c r="H10" s="143">
        <f t="shared" si="2"/>
        <v>-500</v>
      </c>
      <c r="I10" s="151">
        <f t="shared" si="3"/>
        <v>-0.14285714285714285</v>
      </c>
      <c r="J10" s="161" t="s">
        <v>226</v>
      </c>
      <c r="L10" s="5" t="s">
        <v>221</v>
      </c>
    </row>
    <row r="11" spans="1:12" s="5" customFormat="1" ht="15" x14ac:dyDescent="0.25">
      <c r="A11" s="13" t="s">
        <v>26</v>
      </c>
      <c r="B11" s="133">
        <v>150</v>
      </c>
      <c r="C11" s="138">
        <v>250</v>
      </c>
      <c r="D11" s="143">
        <f t="shared" si="0"/>
        <v>-100</v>
      </c>
      <c r="E11" s="151">
        <f t="shared" si="1"/>
        <v>-0.4</v>
      </c>
      <c r="F11" s="96">
        <v>1000</v>
      </c>
      <c r="G11" s="138">
        <f>C11*6</f>
        <v>1500</v>
      </c>
      <c r="H11" s="143">
        <f t="shared" si="2"/>
        <v>-500</v>
      </c>
      <c r="I11" s="151">
        <f t="shared" si="3"/>
        <v>-0.33333333333333331</v>
      </c>
      <c r="J11" s="161" t="s">
        <v>226</v>
      </c>
    </row>
    <row r="12" spans="1:12" s="5" customFormat="1" ht="15" x14ac:dyDescent="0.25">
      <c r="A12" s="13" t="s">
        <v>28</v>
      </c>
      <c r="B12" s="133">
        <v>125</v>
      </c>
      <c r="C12" s="138">
        <v>166.66666666666666</v>
      </c>
      <c r="D12" s="143">
        <f t="shared" si="0"/>
        <v>-41.666666666666657</v>
      </c>
      <c r="E12" s="151">
        <f t="shared" si="1"/>
        <v>-0.24999999999999994</v>
      </c>
      <c r="F12" s="96">
        <v>1200</v>
      </c>
      <c r="G12" s="138">
        <f>C12*6</f>
        <v>1000</v>
      </c>
      <c r="H12" s="143">
        <f t="shared" si="2"/>
        <v>200</v>
      </c>
      <c r="I12" s="151">
        <f t="shared" si="3"/>
        <v>0.2</v>
      </c>
      <c r="J12" s="161"/>
    </row>
    <row r="13" spans="1:12" s="5" customFormat="1" ht="15" x14ac:dyDescent="0.25">
      <c r="A13" s="13" t="s">
        <v>30</v>
      </c>
      <c r="B13" s="133">
        <v>0</v>
      </c>
      <c r="C13" s="138">
        <v>0</v>
      </c>
      <c r="D13" s="143">
        <f t="shared" si="0"/>
        <v>0</v>
      </c>
      <c r="E13" s="151">
        <f t="shared" si="1"/>
        <v>0</v>
      </c>
      <c r="F13" s="96">
        <v>0</v>
      </c>
      <c r="G13" s="138">
        <f>C13*6</f>
        <v>0</v>
      </c>
      <c r="H13" s="143">
        <f t="shared" si="2"/>
        <v>0</v>
      </c>
      <c r="I13" s="151">
        <f t="shared" si="3"/>
        <v>0</v>
      </c>
      <c r="J13" s="161"/>
    </row>
    <row r="14" spans="1:12" s="5" customFormat="1" ht="15" x14ac:dyDescent="0.25">
      <c r="A14" s="89"/>
      <c r="B14" s="97">
        <f t="shared" ref="B14:G14" si="4">SUM(B8:B13)</f>
        <v>12414</v>
      </c>
      <c r="C14" s="19">
        <f t="shared" si="4"/>
        <v>12458.333333333332</v>
      </c>
      <c r="D14" s="144">
        <f t="shared" si="4"/>
        <v>-44.333333333332718</v>
      </c>
      <c r="E14" s="152"/>
      <c r="F14" s="97">
        <f>SUM(F8:F13)</f>
        <v>76125</v>
      </c>
      <c r="G14" s="19">
        <f t="shared" si="4"/>
        <v>74750</v>
      </c>
      <c r="H14" s="144">
        <f t="shared" ref="H14" si="5">SUM(H8:H13)</f>
        <v>1375</v>
      </c>
      <c r="I14" s="152"/>
      <c r="J14" s="162"/>
    </row>
    <row r="15" spans="1:12" s="5" customFormat="1" ht="15" x14ac:dyDescent="0.25">
      <c r="B15" s="133"/>
      <c r="C15" s="138"/>
      <c r="D15" s="145"/>
      <c r="E15" s="151"/>
      <c r="F15" s="96"/>
      <c r="G15" s="138"/>
      <c r="H15" s="145"/>
      <c r="I15" s="151"/>
      <c r="J15" s="161"/>
    </row>
    <row r="16" spans="1:12" s="5" customFormat="1" ht="15" x14ac:dyDescent="0.25">
      <c r="A16" s="12" t="s">
        <v>32</v>
      </c>
      <c r="B16" s="133"/>
      <c r="C16" s="138"/>
      <c r="D16" s="145"/>
      <c r="E16" s="151"/>
      <c r="F16" s="96"/>
      <c r="G16" s="138"/>
      <c r="H16" s="145"/>
      <c r="I16" s="151"/>
      <c r="J16" s="161"/>
    </row>
    <row r="17" spans="1:12" s="5" customFormat="1" ht="15" x14ac:dyDescent="0.25">
      <c r="A17" s="13" t="s">
        <v>33</v>
      </c>
      <c r="B17" s="133">
        <v>13587</v>
      </c>
      <c r="C17" s="138">
        <v>13333.333333333334</v>
      </c>
      <c r="D17" s="143">
        <f>C17-B17</f>
        <v>-253.66666666666606</v>
      </c>
      <c r="E17" s="151">
        <f>IF(C17,D17/C17,0)</f>
        <v>-1.9024999999999955E-2</v>
      </c>
      <c r="F17" s="96">
        <v>82487</v>
      </c>
      <c r="G17" s="138">
        <f>C17*6</f>
        <v>80000</v>
      </c>
      <c r="H17" s="143">
        <f>G17-F17</f>
        <v>-2487</v>
      </c>
      <c r="I17" s="151">
        <f>IF(G17,H17/G17,0)</f>
        <v>-3.1087500000000001E-2</v>
      </c>
      <c r="J17" s="161"/>
    </row>
    <row r="18" spans="1:12" s="5" customFormat="1" ht="15" x14ac:dyDescent="0.25">
      <c r="A18" s="13" t="s">
        <v>35</v>
      </c>
      <c r="B18" s="133">
        <v>487</v>
      </c>
      <c r="C18" s="138">
        <v>450</v>
      </c>
      <c r="D18" s="143">
        <f t="shared" ref="D18:D19" si="6">C18-B18</f>
        <v>-37</v>
      </c>
      <c r="E18" s="151">
        <f t="shared" ref="E18:E19" si="7">IF(C18,D18/C18,0)</f>
        <v>-8.2222222222222224E-2</v>
      </c>
      <c r="F18" s="96">
        <v>2900</v>
      </c>
      <c r="G18" s="138">
        <f>C18*6</f>
        <v>2700</v>
      </c>
      <c r="H18" s="143">
        <f t="shared" ref="H18:H19" si="8">G18-F18</f>
        <v>-200</v>
      </c>
      <c r="I18" s="151">
        <f t="shared" ref="I18:I19" si="9">IF(G18,H18/G18,0)</f>
        <v>-7.407407407407407E-2</v>
      </c>
      <c r="J18" s="161"/>
      <c r="L18" s="5" t="s">
        <v>222</v>
      </c>
    </row>
    <row r="19" spans="1:12" s="5" customFormat="1" ht="15" x14ac:dyDescent="0.25">
      <c r="A19" s="13" t="s">
        <v>37</v>
      </c>
      <c r="B19" s="133">
        <v>220</v>
      </c>
      <c r="C19" s="138">
        <v>216.66666666666666</v>
      </c>
      <c r="D19" s="143">
        <f t="shared" si="6"/>
        <v>-3.3333333333333428</v>
      </c>
      <c r="E19" s="151">
        <f t="shared" si="7"/>
        <v>-1.5384615384615429E-2</v>
      </c>
      <c r="F19" s="96">
        <v>1350</v>
      </c>
      <c r="G19" s="138">
        <f>C19*6</f>
        <v>1300</v>
      </c>
      <c r="H19" s="143">
        <f t="shared" si="8"/>
        <v>-50</v>
      </c>
      <c r="I19" s="151">
        <f t="shared" si="9"/>
        <v>-3.8461538461538464E-2</v>
      </c>
      <c r="J19" s="161"/>
    </row>
    <row r="20" spans="1:12" s="5" customFormat="1" ht="15" x14ac:dyDescent="0.25">
      <c r="A20" s="12"/>
      <c r="B20" s="97">
        <f t="shared" ref="B20:G20" si="10">SUM(B17:B19)</f>
        <v>14294</v>
      </c>
      <c r="C20" s="19">
        <f t="shared" si="10"/>
        <v>14000</v>
      </c>
      <c r="D20" s="146">
        <f t="shared" si="10"/>
        <v>-293.99999999999943</v>
      </c>
      <c r="E20" s="152"/>
      <c r="F20" s="97">
        <f>SUM(F17:F19)</f>
        <v>86737</v>
      </c>
      <c r="G20" s="19">
        <f t="shared" si="10"/>
        <v>84000</v>
      </c>
      <c r="H20" s="146">
        <f t="shared" ref="H20" si="11">SUM(H17:H19)</f>
        <v>-2737</v>
      </c>
      <c r="I20" s="152"/>
      <c r="J20" s="162"/>
    </row>
    <row r="21" spans="1:12" s="5" customFormat="1" ht="15" x14ac:dyDescent="0.25">
      <c r="A21" s="12"/>
      <c r="B21" s="101"/>
      <c r="C21" s="139"/>
      <c r="D21" s="145"/>
      <c r="E21" s="151"/>
      <c r="F21" s="98"/>
      <c r="G21" s="139"/>
      <c r="H21" s="145"/>
      <c r="I21" s="151"/>
      <c r="J21" s="161"/>
    </row>
    <row r="22" spans="1:12" s="5" customFormat="1" ht="15" x14ac:dyDescent="0.25">
      <c r="A22" s="90" t="s">
        <v>39</v>
      </c>
      <c r="B22" s="170">
        <f t="shared" ref="B22:G22" si="12">B14-B20</f>
        <v>-1880</v>
      </c>
      <c r="C22" s="171">
        <f t="shared" si="12"/>
        <v>-1541.6666666666679</v>
      </c>
      <c r="D22" s="172">
        <f t="shared" si="12"/>
        <v>249.66666666666671</v>
      </c>
      <c r="E22" s="173"/>
      <c r="F22" s="170">
        <f>F14-F20</f>
        <v>-10612</v>
      </c>
      <c r="G22" s="171">
        <f t="shared" si="12"/>
        <v>-9250</v>
      </c>
      <c r="H22" s="172">
        <f t="shared" ref="H22" si="13">H14-H20</f>
        <v>4112</v>
      </c>
      <c r="I22" s="153"/>
      <c r="J22" s="163"/>
    </row>
    <row r="23" spans="1:12" s="5" customFormat="1" ht="15" x14ac:dyDescent="0.25">
      <c r="A23" s="12"/>
      <c r="B23" s="133"/>
      <c r="C23" s="138"/>
      <c r="D23" s="145"/>
      <c r="E23" s="151"/>
      <c r="F23" s="96"/>
      <c r="G23" s="138"/>
      <c r="H23" s="145"/>
      <c r="I23" s="151"/>
      <c r="J23" s="161"/>
    </row>
    <row r="24" spans="1:12" s="5" customFormat="1" ht="15" x14ac:dyDescent="0.25">
      <c r="A24" s="12" t="s">
        <v>40</v>
      </c>
      <c r="B24" s="133"/>
      <c r="C24" s="138"/>
      <c r="D24" s="145"/>
      <c r="E24" s="151"/>
      <c r="F24" s="96"/>
      <c r="G24" s="138"/>
      <c r="H24" s="145"/>
      <c r="I24" s="151"/>
      <c r="J24" s="161"/>
    </row>
    <row r="25" spans="1:12" s="5" customFormat="1" ht="15" x14ac:dyDescent="0.25">
      <c r="A25" s="13" t="s">
        <v>41</v>
      </c>
      <c r="B25" s="133">
        <v>0</v>
      </c>
      <c r="C25" s="138">
        <v>166.66666666666666</v>
      </c>
      <c r="D25" s="143">
        <f>C25-B25</f>
        <v>166.66666666666666</v>
      </c>
      <c r="E25" s="151">
        <f>IF(C25,D25/C25,0)</f>
        <v>1</v>
      </c>
      <c r="F25" s="96">
        <v>200</v>
      </c>
      <c r="G25" s="138">
        <f>C25*6</f>
        <v>1000</v>
      </c>
      <c r="H25" s="143">
        <f>G25-F25</f>
        <v>800</v>
      </c>
      <c r="I25" s="151">
        <f>IF(G25,H25/G25,0)</f>
        <v>0.8</v>
      </c>
      <c r="J25" s="161"/>
    </row>
    <row r="26" spans="1:12" s="5" customFormat="1" ht="15" x14ac:dyDescent="0.25">
      <c r="A26" s="13" t="s">
        <v>43</v>
      </c>
      <c r="B26" s="133">
        <v>0</v>
      </c>
      <c r="C26" s="138">
        <v>100</v>
      </c>
      <c r="D26" s="143">
        <f t="shared" ref="D26:D37" si="14">C26-B26</f>
        <v>100</v>
      </c>
      <c r="E26" s="151">
        <f t="shared" ref="E26:E28" si="15">IF(C26,D26/C26,0)</f>
        <v>1</v>
      </c>
      <c r="F26" s="96">
        <v>120</v>
      </c>
      <c r="G26" s="138">
        <f t="shared" ref="G26:G37" si="16">C26*6</f>
        <v>600</v>
      </c>
      <c r="H26" s="143">
        <f t="shared" ref="H26:H37" si="17">G26-F26</f>
        <v>480</v>
      </c>
      <c r="I26" s="151">
        <f t="shared" ref="I26:I37" si="18">IF(G26,H26/G26,0)</f>
        <v>0.8</v>
      </c>
      <c r="J26" s="161"/>
    </row>
    <row r="27" spans="1:12" s="5" customFormat="1" ht="15" x14ac:dyDescent="0.25">
      <c r="A27" s="13" t="s">
        <v>45</v>
      </c>
      <c r="B27" s="133">
        <v>8.3333333333333339</v>
      </c>
      <c r="C27" s="138">
        <v>8.3333333333333339</v>
      </c>
      <c r="D27" s="143">
        <f t="shared" si="14"/>
        <v>0</v>
      </c>
      <c r="E27" s="151">
        <f t="shared" si="15"/>
        <v>0</v>
      </c>
      <c r="F27" s="96">
        <v>48</v>
      </c>
      <c r="G27" s="138">
        <f t="shared" si="16"/>
        <v>50</v>
      </c>
      <c r="H27" s="143">
        <f t="shared" si="17"/>
        <v>2</v>
      </c>
      <c r="I27" s="151">
        <f t="shared" si="18"/>
        <v>0.04</v>
      </c>
      <c r="J27" s="161"/>
    </row>
    <row r="28" spans="1:12" s="5" customFormat="1" ht="15" x14ac:dyDescent="0.25">
      <c r="A28" s="13" t="s">
        <v>179</v>
      </c>
      <c r="B28" s="133">
        <v>0</v>
      </c>
      <c r="C28" s="138">
        <v>104.16666666666667</v>
      </c>
      <c r="D28" s="143">
        <f t="shared" si="14"/>
        <v>104.16666666666667</v>
      </c>
      <c r="E28" s="151">
        <f t="shared" si="15"/>
        <v>1</v>
      </c>
      <c r="F28" s="96">
        <v>200</v>
      </c>
      <c r="G28" s="138">
        <f t="shared" si="16"/>
        <v>625</v>
      </c>
      <c r="H28" s="143">
        <f t="shared" si="17"/>
        <v>425</v>
      </c>
      <c r="I28" s="151">
        <f t="shared" si="18"/>
        <v>0.68</v>
      </c>
      <c r="J28" s="161"/>
    </row>
    <row r="29" spans="1:12" s="5" customFormat="1" ht="15" x14ac:dyDescent="0.25">
      <c r="A29" s="13" t="s">
        <v>49</v>
      </c>
      <c r="B29" s="133">
        <v>250</v>
      </c>
      <c r="C29" s="138">
        <v>201.66666666666666</v>
      </c>
      <c r="D29" s="143">
        <f t="shared" si="14"/>
        <v>-48.333333333333343</v>
      </c>
      <c r="E29" s="151">
        <f t="shared" ref="E29:E37" si="19">IF(C29,D29/C29,0)</f>
        <v>-0.23966942148760337</v>
      </c>
      <c r="F29" s="96">
        <v>1500</v>
      </c>
      <c r="G29" s="138">
        <f t="shared" si="16"/>
        <v>1210</v>
      </c>
      <c r="H29" s="143">
        <f t="shared" si="17"/>
        <v>-290</v>
      </c>
      <c r="I29" s="151">
        <f t="shared" si="18"/>
        <v>-0.23966942148760331</v>
      </c>
      <c r="J29" s="161" t="s">
        <v>216</v>
      </c>
    </row>
    <row r="30" spans="1:12" s="5" customFormat="1" ht="15" x14ac:dyDescent="0.25">
      <c r="A30" s="13" t="s">
        <v>51</v>
      </c>
      <c r="B30" s="133">
        <v>50</v>
      </c>
      <c r="C30" s="138">
        <v>291.66666666666669</v>
      </c>
      <c r="D30" s="143">
        <f t="shared" si="14"/>
        <v>241.66666666666669</v>
      </c>
      <c r="E30" s="151">
        <f t="shared" si="19"/>
        <v>0.82857142857142863</v>
      </c>
      <c r="F30" s="96">
        <v>1550</v>
      </c>
      <c r="G30" s="138">
        <f t="shared" si="16"/>
        <v>1750</v>
      </c>
      <c r="H30" s="143">
        <f t="shared" si="17"/>
        <v>200</v>
      </c>
      <c r="I30" s="151">
        <f t="shared" si="18"/>
        <v>0.11428571428571428</v>
      </c>
      <c r="J30" s="161"/>
    </row>
    <row r="31" spans="1:12" s="5" customFormat="1" ht="15" x14ac:dyDescent="0.25">
      <c r="A31" s="13" t="s">
        <v>53</v>
      </c>
      <c r="B31" s="133">
        <v>162</v>
      </c>
      <c r="C31" s="138">
        <v>110</v>
      </c>
      <c r="D31" s="143">
        <f t="shared" si="14"/>
        <v>-52</v>
      </c>
      <c r="E31" s="151">
        <f t="shared" si="19"/>
        <v>-0.47272727272727272</v>
      </c>
      <c r="F31" s="96">
        <v>810</v>
      </c>
      <c r="G31" s="138">
        <f t="shared" si="16"/>
        <v>660</v>
      </c>
      <c r="H31" s="143">
        <f t="shared" si="17"/>
        <v>-150</v>
      </c>
      <c r="I31" s="151">
        <f t="shared" si="18"/>
        <v>-0.22727272727272727</v>
      </c>
      <c r="J31" s="161" t="s">
        <v>223</v>
      </c>
    </row>
    <row r="32" spans="1:12" s="5" customFormat="1" ht="15" x14ac:dyDescent="0.25">
      <c r="A32" s="13" t="s">
        <v>55</v>
      </c>
      <c r="B32" s="133">
        <v>183.33333333333334</v>
      </c>
      <c r="C32" s="138">
        <v>183.33333333333334</v>
      </c>
      <c r="D32" s="143">
        <f t="shared" si="14"/>
        <v>0</v>
      </c>
      <c r="E32" s="151">
        <f t="shared" si="19"/>
        <v>0</v>
      </c>
      <c r="F32" s="96">
        <v>1100</v>
      </c>
      <c r="G32" s="138">
        <f t="shared" si="16"/>
        <v>1100</v>
      </c>
      <c r="H32" s="143">
        <f t="shared" si="17"/>
        <v>0</v>
      </c>
      <c r="I32" s="151">
        <f t="shared" si="18"/>
        <v>0</v>
      </c>
      <c r="J32" s="161"/>
    </row>
    <row r="33" spans="1:10" s="5" customFormat="1" ht="15" x14ac:dyDescent="0.25">
      <c r="A33" s="13" t="s">
        <v>57</v>
      </c>
      <c r="B33" s="133">
        <v>40</v>
      </c>
      <c r="C33" s="138">
        <v>25</v>
      </c>
      <c r="D33" s="143">
        <f t="shared" si="14"/>
        <v>-15</v>
      </c>
      <c r="E33" s="151">
        <f t="shared" si="19"/>
        <v>-0.6</v>
      </c>
      <c r="F33" s="96">
        <v>160</v>
      </c>
      <c r="G33" s="138">
        <f t="shared" si="16"/>
        <v>150</v>
      </c>
      <c r="H33" s="143">
        <f t="shared" si="17"/>
        <v>-10</v>
      </c>
      <c r="I33" s="151">
        <f t="shared" si="18"/>
        <v>-6.6666666666666666E-2</v>
      </c>
      <c r="J33" s="161"/>
    </row>
    <row r="34" spans="1:10" s="5" customFormat="1" ht="15" x14ac:dyDescent="0.25">
      <c r="A34" s="13" t="s">
        <v>59</v>
      </c>
      <c r="B34" s="133">
        <v>60</v>
      </c>
      <c r="C34" s="138">
        <v>41.666666666666664</v>
      </c>
      <c r="D34" s="143">
        <f t="shared" si="14"/>
        <v>-18.333333333333336</v>
      </c>
      <c r="E34" s="151">
        <f t="shared" si="19"/>
        <v>-0.44000000000000006</v>
      </c>
      <c r="F34" s="96">
        <v>1800</v>
      </c>
      <c r="G34" s="138">
        <f t="shared" si="16"/>
        <v>250</v>
      </c>
      <c r="H34" s="143">
        <f t="shared" si="17"/>
        <v>-1550</v>
      </c>
      <c r="I34" s="151">
        <f t="shared" si="18"/>
        <v>-6.2</v>
      </c>
      <c r="J34" s="161" t="s">
        <v>224</v>
      </c>
    </row>
    <row r="35" spans="1:10" s="5" customFormat="1" ht="15" x14ac:dyDescent="0.25">
      <c r="A35" s="13" t="s">
        <v>61</v>
      </c>
      <c r="B35" s="133">
        <v>416.66666666666669</v>
      </c>
      <c r="C35" s="138">
        <v>416.66666666666669</v>
      </c>
      <c r="D35" s="143">
        <f t="shared" si="14"/>
        <v>0</v>
      </c>
      <c r="E35" s="151">
        <f t="shared" si="19"/>
        <v>0</v>
      </c>
      <c r="F35" s="96">
        <v>2500</v>
      </c>
      <c r="G35" s="138">
        <f t="shared" si="16"/>
        <v>2500</v>
      </c>
      <c r="H35" s="143">
        <f t="shared" si="17"/>
        <v>0</v>
      </c>
      <c r="I35" s="151">
        <f t="shared" si="18"/>
        <v>0</v>
      </c>
      <c r="J35" s="161"/>
    </row>
    <row r="36" spans="1:10" s="5" customFormat="1" ht="15" x14ac:dyDescent="0.25">
      <c r="A36" s="13" t="s">
        <v>63</v>
      </c>
      <c r="B36" s="133">
        <v>0</v>
      </c>
      <c r="C36" s="138">
        <v>100</v>
      </c>
      <c r="D36" s="143">
        <f t="shared" si="14"/>
        <v>100</v>
      </c>
      <c r="E36" s="151">
        <f t="shared" si="19"/>
        <v>1</v>
      </c>
      <c r="F36" s="96">
        <v>400</v>
      </c>
      <c r="G36" s="138">
        <f t="shared" si="16"/>
        <v>600</v>
      </c>
      <c r="H36" s="143">
        <f t="shared" si="17"/>
        <v>200</v>
      </c>
      <c r="I36" s="151">
        <f t="shared" si="18"/>
        <v>0.33333333333333331</v>
      </c>
      <c r="J36" s="161"/>
    </row>
    <row r="37" spans="1:10" s="5" customFormat="1" ht="15" x14ac:dyDescent="0.25">
      <c r="A37" s="13" t="s">
        <v>65</v>
      </c>
      <c r="B37" s="133">
        <v>380</v>
      </c>
      <c r="C37" s="138">
        <v>410</v>
      </c>
      <c r="D37" s="143">
        <f t="shared" si="14"/>
        <v>30</v>
      </c>
      <c r="E37" s="151">
        <f t="shared" si="19"/>
        <v>7.3170731707317069E-2</v>
      </c>
      <c r="F37" s="96">
        <v>2145</v>
      </c>
      <c r="G37" s="138">
        <f t="shared" si="16"/>
        <v>2460</v>
      </c>
      <c r="H37" s="143">
        <f t="shared" si="17"/>
        <v>315</v>
      </c>
      <c r="I37" s="151">
        <f t="shared" si="18"/>
        <v>0.12804878048780488</v>
      </c>
      <c r="J37" s="161"/>
    </row>
    <row r="38" spans="1:10" s="5" customFormat="1" ht="15" x14ac:dyDescent="0.25">
      <c r="A38" s="12"/>
      <c r="B38" s="97">
        <f t="shared" ref="B38:G38" si="20">SUM(B25:B37)</f>
        <v>1550.3333333333333</v>
      </c>
      <c r="C38" s="19">
        <f t="shared" si="20"/>
        <v>2159.166666666667</v>
      </c>
      <c r="D38" s="144">
        <f t="shared" si="20"/>
        <v>608.83333333333348</v>
      </c>
      <c r="E38" s="152"/>
      <c r="F38" s="97">
        <f>SUM(F25:F37)</f>
        <v>12533</v>
      </c>
      <c r="G38" s="19">
        <f t="shared" si="20"/>
        <v>12955</v>
      </c>
      <c r="H38" s="144">
        <f t="shared" ref="H38" si="21">SUM(H25:H37)</f>
        <v>422</v>
      </c>
      <c r="I38" s="152"/>
      <c r="J38" s="162"/>
    </row>
    <row r="39" spans="1:10" s="5" customFormat="1" ht="15" x14ac:dyDescent="0.25">
      <c r="B39" s="133"/>
      <c r="C39" s="138"/>
      <c r="D39" s="145"/>
      <c r="E39" s="151"/>
      <c r="F39" s="96"/>
      <c r="G39" s="138"/>
      <c r="H39" s="145"/>
      <c r="I39" s="151"/>
      <c r="J39" s="161"/>
    </row>
    <row r="40" spans="1:10" s="5" customFormat="1" ht="15" hidden="1" x14ac:dyDescent="0.25">
      <c r="A40" s="12" t="s">
        <v>67</v>
      </c>
      <c r="B40" s="133"/>
      <c r="C40" s="138"/>
      <c r="D40" s="145"/>
      <c r="E40" s="151"/>
      <c r="F40" s="96"/>
      <c r="G40" s="138"/>
      <c r="H40" s="145"/>
      <c r="I40" s="151"/>
      <c r="J40" s="161"/>
    </row>
    <row r="41" spans="1:10" s="5" customFormat="1" ht="15" hidden="1" customHeight="1" x14ac:dyDescent="0.25">
      <c r="A41" s="13" t="s">
        <v>68</v>
      </c>
      <c r="B41" s="133" t="e">
        <f>#REF!/12</f>
        <v>#REF!</v>
      </c>
      <c r="C41" s="138" t="e">
        <f>#REF!/12</f>
        <v>#REF!</v>
      </c>
      <c r="D41" s="145" t="e">
        <f>#REF!/12</f>
        <v>#REF!</v>
      </c>
      <c r="E41" s="151" t="e">
        <f>#REF!/12</f>
        <v>#REF!</v>
      </c>
      <c r="F41" s="96" t="e">
        <f>#REF!/12</f>
        <v>#REF!</v>
      </c>
      <c r="G41" s="138" t="e">
        <f>#REF!/12</f>
        <v>#REF!</v>
      </c>
      <c r="H41" s="145" t="e">
        <f>#REF!/12</f>
        <v>#REF!</v>
      </c>
      <c r="I41" s="151" t="e">
        <f>#REF!/12</f>
        <v>#REF!</v>
      </c>
      <c r="J41" s="161"/>
    </row>
    <row r="42" spans="1:10" s="5" customFormat="1" ht="15" hidden="1" customHeight="1" x14ac:dyDescent="0.25">
      <c r="A42" s="13" t="s">
        <v>70</v>
      </c>
      <c r="B42" s="133" t="e">
        <f>#REF!/12</f>
        <v>#REF!</v>
      </c>
      <c r="C42" s="138" t="e">
        <f>#REF!/12</f>
        <v>#REF!</v>
      </c>
      <c r="D42" s="145" t="e">
        <f>#REF!/12</f>
        <v>#REF!</v>
      </c>
      <c r="E42" s="151" t="e">
        <f>#REF!/12</f>
        <v>#REF!</v>
      </c>
      <c r="F42" s="96" t="e">
        <f>#REF!/12</f>
        <v>#REF!</v>
      </c>
      <c r="G42" s="138" t="e">
        <f>#REF!/12</f>
        <v>#REF!</v>
      </c>
      <c r="H42" s="145" t="e">
        <f>#REF!/12</f>
        <v>#REF!</v>
      </c>
      <c r="I42" s="151" t="e">
        <f>#REF!/12</f>
        <v>#REF!</v>
      </c>
      <c r="J42" s="161"/>
    </row>
    <row r="43" spans="1:10" s="5" customFormat="1" ht="15" hidden="1" customHeight="1" x14ac:dyDescent="0.25">
      <c r="A43" s="13" t="s">
        <v>72</v>
      </c>
      <c r="B43" s="133" t="e">
        <f>#REF!/12</f>
        <v>#REF!</v>
      </c>
      <c r="C43" s="138" t="e">
        <f>#REF!/12</f>
        <v>#REF!</v>
      </c>
      <c r="D43" s="145" t="e">
        <f>#REF!/12</f>
        <v>#REF!</v>
      </c>
      <c r="E43" s="151" t="e">
        <f>#REF!/12</f>
        <v>#REF!</v>
      </c>
      <c r="F43" s="96" t="e">
        <f>#REF!/12</f>
        <v>#REF!</v>
      </c>
      <c r="G43" s="138" t="e">
        <f>#REF!/12</f>
        <v>#REF!</v>
      </c>
      <c r="H43" s="145" t="e">
        <f>#REF!/12</f>
        <v>#REF!</v>
      </c>
      <c r="I43" s="151" t="e">
        <f>#REF!/12</f>
        <v>#REF!</v>
      </c>
      <c r="J43" s="161"/>
    </row>
    <row r="44" spans="1:10" s="5" customFormat="1" ht="15" hidden="1" customHeight="1" x14ac:dyDescent="0.25">
      <c r="A44" s="13" t="s">
        <v>74</v>
      </c>
      <c r="B44" s="133" t="e">
        <f>#REF!/12</f>
        <v>#REF!</v>
      </c>
      <c r="C44" s="138" t="e">
        <f>#REF!/12</f>
        <v>#REF!</v>
      </c>
      <c r="D44" s="145" t="e">
        <f>#REF!/12</f>
        <v>#REF!</v>
      </c>
      <c r="E44" s="151" t="e">
        <f>#REF!/12</f>
        <v>#REF!</v>
      </c>
      <c r="F44" s="96" t="e">
        <f>#REF!/12</f>
        <v>#REF!</v>
      </c>
      <c r="G44" s="138" t="e">
        <f>#REF!/12</f>
        <v>#REF!</v>
      </c>
      <c r="H44" s="145" t="e">
        <f>#REF!/12</f>
        <v>#REF!</v>
      </c>
      <c r="I44" s="151" t="e">
        <f>#REF!/12</f>
        <v>#REF!</v>
      </c>
      <c r="J44" s="161"/>
    </row>
    <row r="45" spans="1:10" s="5" customFormat="1" ht="15" hidden="1" customHeight="1" x14ac:dyDescent="0.25">
      <c r="A45" s="13" t="s">
        <v>76</v>
      </c>
      <c r="B45" s="133" t="e">
        <f>#REF!/12</f>
        <v>#REF!</v>
      </c>
      <c r="C45" s="138" t="e">
        <f>#REF!/12</f>
        <v>#REF!</v>
      </c>
      <c r="D45" s="145" t="e">
        <f>#REF!/12</f>
        <v>#REF!</v>
      </c>
      <c r="E45" s="151" t="e">
        <f>#REF!/12</f>
        <v>#REF!</v>
      </c>
      <c r="F45" s="96" t="e">
        <f>#REF!/12</f>
        <v>#REF!</v>
      </c>
      <c r="G45" s="138" t="e">
        <f>#REF!/12</f>
        <v>#REF!</v>
      </c>
      <c r="H45" s="145" t="e">
        <f>#REF!/12</f>
        <v>#REF!</v>
      </c>
      <c r="I45" s="151" t="e">
        <f>#REF!/12</f>
        <v>#REF!</v>
      </c>
      <c r="J45" s="161"/>
    </row>
    <row r="46" spans="1:10" s="5" customFormat="1" ht="15" hidden="1" customHeight="1" x14ac:dyDescent="0.25">
      <c r="A46" s="13" t="s">
        <v>78</v>
      </c>
      <c r="B46" s="133" t="e">
        <f>#REF!/12</f>
        <v>#REF!</v>
      </c>
      <c r="C46" s="138" t="e">
        <f>#REF!/12</f>
        <v>#REF!</v>
      </c>
      <c r="D46" s="145" t="e">
        <f>#REF!/12</f>
        <v>#REF!</v>
      </c>
      <c r="E46" s="151" t="e">
        <f>#REF!/12</f>
        <v>#REF!</v>
      </c>
      <c r="F46" s="96" t="e">
        <f>#REF!/12</f>
        <v>#REF!</v>
      </c>
      <c r="G46" s="138" t="e">
        <f>#REF!/12</f>
        <v>#REF!</v>
      </c>
      <c r="H46" s="145" t="e">
        <f>#REF!/12</f>
        <v>#REF!</v>
      </c>
      <c r="I46" s="151" t="e">
        <f>#REF!/12</f>
        <v>#REF!</v>
      </c>
      <c r="J46" s="161"/>
    </row>
    <row r="47" spans="1:10" s="5" customFormat="1" ht="15" hidden="1" customHeight="1" x14ac:dyDescent="0.25">
      <c r="A47" s="13" t="s">
        <v>80</v>
      </c>
      <c r="B47" s="133" t="e">
        <f>#REF!/12</f>
        <v>#REF!</v>
      </c>
      <c r="C47" s="138" t="e">
        <f>#REF!/12</f>
        <v>#REF!</v>
      </c>
      <c r="D47" s="145" t="e">
        <f>#REF!/12</f>
        <v>#REF!</v>
      </c>
      <c r="E47" s="151" t="e">
        <f>#REF!/12</f>
        <v>#REF!</v>
      </c>
      <c r="F47" s="96" t="e">
        <f>#REF!/12</f>
        <v>#REF!</v>
      </c>
      <c r="G47" s="138" t="e">
        <f>#REF!/12</f>
        <v>#REF!</v>
      </c>
      <c r="H47" s="145" t="e">
        <f>#REF!/12</f>
        <v>#REF!</v>
      </c>
      <c r="I47" s="151" t="e">
        <f>#REF!/12</f>
        <v>#REF!</v>
      </c>
      <c r="J47" s="161"/>
    </row>
    <row r="48" spans="1:10" s="5" customFormat="1" ht="15" hidden="1" customHeight="1" x14ac:dyDescent="0.25">
      <c r="A48" s="13" t="s">
        <v>82</v>
      </c>
      <c r="B48" s="133" t="e">
        <f>#REF!/12</f>
        <v>#REF!</v>
      </c>
      <c r="C48" s="138" t="e">
        <f>#REF!/12</f>
        <v>#REF!</v>
      </c>
      <c r="D48" s="145" t="e">
        <f>#REF!/12</f>
        <v>#REF!</v>
      </c>
      <c r="E48" s="151" t="e">
        <f>#REF!/12</f>
        <v>#REF!</v>
      </c>
      <c r="F48" s="96" t="e">
        <f>#REF!/12</f>
        <v>#REF!</v>
      </c>
      <c r="G48" s="138" t="e">
        <f>#REF!/12</f>
        <v>#REF!</v>
      </c>
      <c r="H48" s="145" t="e">
        <f>#REF!/12</f>
        <v>#REF!</v>
      </c>
      <c r="I48" s="151" t="e">
        <f>#REF!/12</f>
        <v>#REF!</v>
      </c>
      <c r="J48" s="161"/>
    </row>
    <row r="49" spans="1:13" s="5" customFormat="1" ht="45" x14ac:dyDescent="0.25">
      <c r="A49" s="12" t="s">
        <v>67</v>
      </c>
      <c r="B49" s="97">
        <v>6240</v>
      </c>
      <c r="C49" s="19">
        <v>5846</v>
      </c>
      <c r="D49" s="144">
        <f>C49-B49</f>
        <v>-394</v>
      </c>
      <c r="E49" s="152">
        <f t="shared" ref="E49" si="22">IF(C49,D49/C49,0)</f>
        <v>-6.7396510434485121E-2</v>
      </c>
      <c r="F49" s="97">
        <v>50875</v>
      </c>
      <c r="G49" s="19">
        <f>C49*6</f>
        <v>35076</v>
      </c>
      <c r="H49" s="144">
        <f>G49-F49</f>
        <v>-15799</v>
      </c>
      <c r="I49" s="152">
        <f t="shared" ref="I49" si="23">IF(G49,H49/G49,0)</f>
        <v>-0.45042194092827004</v>
      </c>
      <c r="J49" s="249" t="s">
        <v>217</v>
      </c>
      <c r="M49" s="258">
        <f>B49*6</f>
        <v>37440</v>
      </c>
    </row>
    <row r="50" spans="1:13" s="5" customFormat="1" ht="15" hidden="1" x14ac:dyDescent="0.25">
      <c r="B50" s="133"/>
      <c r="C50" s="138"/>
      <c r="D50" s="145"/>
      <c r="E50" s="151"/>
      <c r="F50" s="96"/>
      <c r="G50" s="138"/>
      <c r="H50" s="145"/>
      <c r="I50" s="151"/>
      <c r="J50" s="161"/>
    </row>
    <row r="51" spans="1:13" s="5" customFormat="1" ht="15" x14ac:dyDescent="0.25">
      <c r="A51" s="12"/>
      <c r="B51" s="133"/>
      <c r="C51" s="138"/>
      <c r="D51" s="145"/>
      <c r="E51" s="151"/>
      <c r="F51" s="96"/>
      <c r="G51" s="138"/>
      <c r="H51" s="145"/>
      <c r="I51" s="151"/>
      <c r="J51" s="161"/>
    </row>
    <row r="52" spans="1:13" s="5" customFormat="1" ht="15" hidden="1" x14ac:dyDescent="0.25">
      <c r="A52" s="13" t="s">
        <v>85</v>
      </c>
      <c r="B52" s="133">
        <v>0</v>
      </c>
      <c r="C52" s="138">
        <v>250</v>
      </c>
      <c r="D52" s="143">
        <f t="shared" ref="D52:D54" si="24">C52-B52</f>
        <v>250</v>
      </c>
      <c r="E52" s="151">
        <f t="shared" ref="E52:E53" si="25">IF(C52,D52/C52,0)</f>
        <v>1</v>
      </c>
      <c r="F52" s="96">
        <v>1200</v>
      </c>
      <c r="G52" s="138">
        <f>C52*6</f>
        <v>1500</v>
      </c>
      <c r="H52" s="143">
        <f t="shared" ref="H52:H54" si="26">G52-F52</f>
        <v>300</v>
      </c>
      <c r="I52" s="151">
        <f t="shared" ref="I52:I54" si="27">IF(G52,H52/G52,0)</f>
        <v>0.2</v>
      </c>
      <c r="J52" s="161"/>
    </row>
    <row r="53" spans="1:13" s="5" customFormat="1" ht="15" hidden="1" x14ac:dyDescent="0.25">
      <c r="A53" s="13" t="s">
        <v>87</v>
      </c>
      <c r="B53" s="133">
        <v>0</v>
      </c>
      <c r="C53" s="138">
        <v>0</v>
      </c>
      <c r="D53" s="143">
        <f t="shared" si="24"/>
        <v>0</v>
      </c>
      <c r="E53" s="151">
        <f t="shared" si="25"/>
        <v>0</v>
      </c>
      <c r="F53" s="96">
        <v>0</v>
      </c>
      <c r="G53" s="138">
        <v>0</v>
      </c>
      <c r="H53" s="143">
        <f t="shared" si="26"/>
        <v>0</v>
      </c>
      <c r="I53" s="151">
        <f t="shared" si="27"/>
        <v>0</v>
      </c>
      <c r="J53" s="161"/>
    </row>
    <row r="54" spans="1:13" s="5" customFormat="1" ht="15" hidden="1" x14ac:dyDescent="0.25">
      <c r="A54" s="13" t="s">
        <v>89</v>
      </c>
      <c r="B54" s="133">
        <v>50</v>
      </c>
      <c r="C54" s="138">
        <v>50</v>
      </c>
      <c r="D54" s="143">
        <f t="shared" si="24"/>
        <v>0</v>
      </c>
      <c r="E54" s="151">
        <f t="shared" ref="E54" si="28">IF(C54,D54/C54,0)</f>
        <v>0</v>
      </c>
      <c r="F54" s="96">
        <v>300</v>
      </c>
      <c r="G54" s="138">
        <f>C54*6</f>
        <v>300</v>
      </c>
      <c r="H54" s="143">
        <f t="shared" si="26"/>
        <v>0</v>
      </c>
      <c r="I54" s="151">
        <f t="shared" si="27"/>
        <v>0</v>
      </c>
      <c r="J54" s="161"/>
    </row>
    <row r="55" spans="1:13" s="5" customFormat="1" ht="15" x14ac:dyDescent="0.25">
      <c r="A55" s="12" t="s">
        <v>84</v>
      </c>
      <c r="B55" s="97">
        <f t="shared" ref="B55:G55" si="29">SUM(B52:B54)</f>
        <v>50</v>
      </c>
      <c r="C55" s="19">
        <f t="shared" si="29"/>
        <v>300</v>
      </c>
      <c r="D55" s="144">
        <f t="shared" si="29"/>
        <v>250</v>
      </c>
      <c r="E55" s="152"/>
      <c r="F55" s="97">
        <f>SUM(F52:F54)</f>
        <v>1500</v>
      </c>
      <c r="G55" s="19">
        <f t="shared" si="29"/>
        <v>1800</v>
      </c>
      <c r="H55" s="144">
        <f t="shared" ref="H55" si="30">SUM(H52:H54)</f>
        <v>300</v>
      </c>
      <c r="I55" s="152"/>
      <c r="J55" s="169"/>
    </row>
    <row r="56" spans="1:13" s="5" customFormat="1" ht="15" hidden="1" customHeight="1" x14ac:dyDescent="0.25">
      <c r="B56" s="133"/>
      <c r="C56" s="138"/>
      <c r="D56" s="145"/>
      <c r="E56" s="151"/>
      <c r="F56" s="96"/>
      <c r="G56" s="138"/>
      <c r="H56" s="145"/>
      <c r="I56" s="151"/>
      <c r="J56" s="161"/>
    </row>
    <row r="57" spans="1:13" s="5" customFormat="1" ht="15" hidden="1" customHeight="1" x14ac:dyDescent="0.25">
      <c r="A57" s="12" t="s">
        <v>91</v>
      </c>
      <c r="B57" s="133"/>
      <c r="C57" s="138"/>
      <c r="D57" s="145"/>
      <c r="E57" s="151"/>
      <c r="F57" s="96"/>
      <c r="G57" s="138"/>
      <c r="H57" s="145"/>
      <c r="I57" s="151"/>
      <c r="J57" s="161"/>
    </row>
    <row r="58" spans="1:13" s="5" customFormat="1" ht="15" hidden="1" customHeight="1" x14ac:dyDescent="0.25">
      <c r="A58" s="13" t="s">
        <v>92</v>
      </c>
      <c r="B58" s="133" t="e">
        <f>#REF!/12</f>
        <v>#REF!</v>
      </c>
      <c r="C58" s="138" t="e">
        <f>#REF!/12</f>
        <v>#REF!</v>
      </c>
      <c r="D58" s="145" t="e">
        <f>#REF!/12</f>
        <v>#REF!</v>
      </c>
      <c r="E58" s="151" t="e">
        <f>#REF!/12</f>
        <v>#REF!</v>
      </c>
      <c r="F58" s="96" t="e">
        <f>#REF!/12</f>
        <v>#REF!</v>
      </c>
      <c r="G58" s="138" t="e">
        <f>#REF!/12</f>
        <v>#REF!</v>
      </c>
      <c r="H58" s="145" t="e">
        <f>#REF!/12</f>
        <v>#REF!</v>
      </c>
      <c r="I58" s="151" t="e">
        <f>#REF!/12</f>
        <v>#REF!</v>
      </c>
      <c r="J58" s="161"/>
    </row>
    <row r="59" spans="1:13" s="5" customFormat="1" ht="15" hidden="1" customHeight="1" x14ac:dyDescent="0.25">
      <c r="A59" s="13" t="s">
        <v>94</v>
      </c>
      <c r="B59" s="133" t="e">
        <f>#REF!/12</f>
        <v>#REF!</v>
      </c>
      <c r="C59" s="138" t="e">
        <f>#REF!/12</f>
        <v>#REF!</v>
      </c>
      <c r="D59" s="145" t="e">
        <f>#REF!/12</f>
        <v>#REF!</v>
      </c>
      <c r="E59" s="151" t="e">
        <f>#REF!/12</f>
        <v>#REF!</v>
      </c>
      <c r="F59" s="96" t="e">
        <f>#REF!/12</f>
        <v>#REF!</v>
      </c>
      <c r="G59" s="138" t="e">
        <f>#REF!/12</f>
        <v>#REF!</v>
      </c>
      <c r="H59" s="145" t="e">
        <f>#REF!/12</f>
        <v>#REF!</v>
      </c>
      <c r="I59" s="151" t="e">
        <f>#REF!/12</f>
        <v>#REF!</v>
      </c>
      <c r="J59" s="161"/>
    </row>
    <row r="60" spans="1:13" s="5" customFormat="1" ht="15" hidden="1" customHeight="1" x14ac:dyDescent="0.25">
      <c r="A60" s="13" t="s">
        <v>96</v>
      </c>
      <c r="B60" s="133" t="e">
        <f>#REF!/12</f>
        <v>#REF!</v>
      </c>
      <c r="C60" s="138" t="e">
        <f>#REF!/12</f>
        <v>#REF!</v>
      </c>
      <c r="D60" s="145" t="e">
        <f>#REF!/12</f>
        <v>#REF!</v>
      </c>
      <c r="E60" s="151" t="e">
        <f>#REF!/12</f>
        <v>#REF!</v>
      </c>
      <c r="F60" s="96" t="e">
        <f>#REF!/12</f>
        <v>#REF!</v>
      </c>
      <c r="G60" s="138" t="e">
        <f>#REF!/12</f>
        <v>#REF!</v>
      </c>
      <c r="H60" s="145" t="e">
        <f>#REF!/12</f>
        <v>#REF!</v>
      </c>
      <c r="I60" s="151" t="e">
        <f>#REF!/12</f>
        <v>#REF!</v>
      </c>
      <c r="J60" s="161"/>
    </row>
    <row r="61" spans="1:13" s="5" customFormat="1" ht="15" hidden="1" customHeight="1" x14ac:dyDescent="0.25">
      <c r="A61" s="13" t="s">
        <v>98</v>
      </c>
      <c r="B61" s="133" t="e">
        <f>#REF!/12</f>
        <v>#REF!</v>
      </c>
      <c r="C61" s="138" t="e">
        <f>#REF!/12</f>
        <v>#REF!</v>
      </c>
      <c r="D61" s="145" t="e">
        <f>#REF!/12</f>
        <v>#REF!</v>
      </c>
      <c r="E61" s="151" t="e">
        <f>#REF!/12</f>
        <v>#REF!</v>
      </c>
      <c r="F61" s="96" t="e">
        <f>#REF!/12</f>
        <v>#REF!</v>
      </c>
      <c r="G61" s="138" t="e">
        <f>#REF!/12</f>
        <v>#REF!</v>
      </c>
      <c r="H61" s="145" t="e">
        <f>#REF!/12</f>
        <v>#REF!</v>
      </c>
      <c r="I61" s="151" t="e">
        <f>#REF!/12</f>
        <v>#REF!</v>
      </c>
      <c r="J61" s="161"/>
    </row>
    <row r="62" spans="1:13" s="5" customFormat="1" ht="15" hidden="1" customHeight="1" x14ac:dyDescent="0.25">
      <c r="A62" s="13" t="s">
        <v>100</v>
      </c>
      <c r="B62" s="133" t="e">
        <f>#REF!/12</f>
        <v>#REF!</v>
      </c>
      <c r="C62" s="138" t="e">
        <f>#REF!/12</f>
        <v>#REF!</v>
      </c>
      <c r="D62" s="145" t="e">
        <f>#REF!/12</f>
        <v>#REF!</v>
      </c>
      <c r="E62" s="151" t="e">
        <f>#REF!/12</f>
        <v>#REF!</v>
      </c>
      <c r="F62" s="96" t="e">
        <f>#REF!/12</f>
        <v>#REF!</v>
      </c>
      <c r="G62" s="138" t="e">
        <f>#REF!/12</f>
        <v>#REF!</v>
      </c>
      <c r="H62" s="145" t="e">
        <f>#REF!/12</f>
        <v>#REF!</v>
      </c>
      <c r="I62" s="151" t="e">
        <f>#REF!/12</f>
        <v>#REF!</v>
      </c>
      <c r="J62" s="161"/>
    </row>
    <row r="63" spans="1:13" s="5" customFormat="1" ht="15" hidden="1" customHeight="1" x14ac:dyDescent="0.25">
      <c r="A63" s="12"/>
      <c r="B63" s="97" t="e">
        <f t="shared" ref="B63:G63" si="31">SUM(B58:B62)</f>
        <v>#REF!</v>
      </c>
      <c r="C63" s="19" t="e">
        <f t="shared" si="31"/>
        <v>#REF!</v>
      </c>
      <c r="D63" s="144" t="e">
        <f t="shared" si="31"/>
        <v>#REF!</v>
      </c>
      <c r="E63" s="152" t="e">
        <f t="shared" si="31"/>
        <v>#REF!</v>
      </c>
      <c r="F63" s="97" t="e">
        <f>SUM(F58:F62)</f>
        <v>#REF!</v>
      </c>
      <c r="G63" s="19" t="e">
        <f t="shared" si="31"/>
        <v>#REF!</v>
      </c>
      <c r="H63" s="144" t="e">
        <f t="shared" ref="H63:I63" si="32">SUM(H58:H62)</f>
        <v>#REF!</v>
      </c>
      <c r="I63" s="152" t="e">
        <f t="shared" si="32"/>
        <v>#REF!</v>
      </c>
      <c r="J63" s="162"/>
    </row>
    <row r="64" spans="1:13" s="5" customFormat="1" ht="15" x14ac:dyDescent="0.25">
      <c r="B64" s="133"/>
      <c r="C64" s="138"/>
      <c r="D64" s="145"/>
      <c r="E64" s="151"/>
      <c r="F64" s="96"/>
      <c r="G64" s="138"/>
      <c r="H64" s="145"/>
      <c r="I64" s="151"/>
      <c r="J64" s="161"/>
    </row>
    <row r="65" spans="1:10" s="5" customFormat="1" ht="15" x14ac:dyDescent="0.25">
      <c r="A65" s="90" t="s">
        <v>102</v>
      </c>
      <c r="B65" s="100">
        <f>B55+B49+B38</f>
        <v>7840.333333333333</v>
      </c>
      <c r="C65" s="30">
        <f>C55+C49+C38</f>
        <v>8305.1666666666679</v>
      </c>
      <c r="D65" s="147">
        <f>D55+D49+D38</f>
        <v>464.83333333333348</v>
      </c>
      <c r="E65" s="154"/>
      <c r="F65" s="100">
        <f>F55+F49+F38</f>
        <v>64908</v>
      </c>
      <c r="G65" s="30">
        <f>G55+G49+G38</f>
        <v>49831</v>
      </c>
      <c r="H65" s="147">
        <f>H55+H49+H38</f>
        <v>-15077</v>
      </c>
      <c r="I65" s="154"/>
      <c r="J65" s="164"/>
    </row>
    <row r="66" spans="1:10" s="5" customFormat="1" ht="15" x14ac:dyDescent="0.25">
      <c r="A66" s="31"/>
      <c r="B66" s="101"/>
      <c r="C66" s="140"/>
      <c r="D66" s="148"/>
      <c r="E66" s="155"/>
      <c r="F66" s="101"/>
      <c r="G66" s="140"/>
      <c r="H66" s="148"/>
      <c r="I66" s="155"/>
      <c r="J66" s="165"/>
    </row>
    <row r="67" spans="1:10" s="5" customFormat="1" ht="15.75" thickBot="1" x14ac:dyDescent="0.3">
      <c r="A67" s="179" t="s">
        <v>180</v>
      </c>
      <c r="B67" s="180">
        <f>B22-B65</f>
        <v>-9720.3333333333321</v>
      </c>
      <c r="C67" s="181">
        <f>C22-C65</f>
        <v>-9846.8333333333358</v>
      </c>
      <c r="D67" s="174">
        <f>D22-D65</f>
        <v>-215.16666666666677</v>
      </c>
      <c r="E67" s="175"/>
      <c r="F67" s="180">
        <f>F22-F65</f>
        <v>-75520</v>
      </c>
      <c r="G67" s="181">
        <f>G22-G65</f>
        <v>-59081</v>
      </c>
      <c r="H67" s="174">
        <f>H22-H65</f>
        <v>19189</v>
      </c>
      <c r="I67" s="156"/>
      <c r="J67" s="166"/>
    </row>
    <row r="68" spans="1:10" s="5" customFormat="1" ht="15" x14ac:dyDescent="0.25">
      <c r="B68" s="133"/>
      <c r="C68" s="138"/>
      <c r="D68" s="145"/>
      <c r="E68" s="151"/>
      <c r="F68" s="96"/>
      <c r="G68" s="138"/>
      <c r="H68" s="145"/>
      <c r="I68" s="151"/>
      <c r="J68" s="161"/>
    </row>
    <row r="69" spans="1:10" s="5" customFormat="1" ht="15" x14ac:dyDescent="0.25">
      <c r="A69" s="12" t="s">
        <v>104</v>
      </c>
      <c r="B69" s="133"/>
      <c r="C69" s="138"/>
      <c r="D69" s="145"/>
      <c r="E69" s="151"/>
      <c r="F69" s="96"/>
      <c r="G69" s="138"/>
      <c r="H69" s="145"/>
      <c r="I69" s="151"/>
      <c r="J69" s="161"/>
    </row>
    <row r="70" spans="1:10" s="5" customFormat="1" ht="15" hidden="1" customHeight="1" x14ac:dyDescent="0.25">
      <c r="A70" s="13" t="s">
        <v>105</v>
      </c>
      <c r="B70" s="133" t="e">
        <f>#REF!/12</f>
        <v>#REF!</v>
      </c>
      <c r="C70" s="138" t="e">
        <f>#REF!/12</f>
        <v>#REF!</v>
      </c>
      <c r="D70" s="145" t="e">
        <f>#REF!/12</f>
        <v>#REF!</v>
      </c>
      <c r="E70" s="151" t="e">
        <f>#REF!/12</f>
        <v>#REF!</v>
      </c>
      <c r="F70" s="96" t="e">
        <f>#REF!/12</f>
        <v>#REF!</v>
      </c>
      <c r="G70" s="138" t="e">
        <f>#REF!/12</f>
        <v>#REF!</v>
      </c>
      <c r="H70" s="145" t="e">
        <f>#REF!/12</f>
        <v>#REF!</v>
      </c>
      <c r="I70" s="151" t="e">
        <f>#REF!/12</f>
        <v>#REF!</v>
      </c>
      <c r="J70" s="161"/>
    </row>
    <row r="71" spans="1:10" s="5" customFormat="1" ht="15" x14ac:dyDescent="0.25">
      <c r="A71" s="13" t="s">
        <v>107</v>
      </c>
      <c r="B71" s="133">
        <v>9833.3333333333339</v>
      </c>
      <c r="C71" s="138">
        <v>9833.3333333333339</v>
      </c>
      <c r="D71" s="143">
        <f t="shared" ref="D71:D72" si="33">B71-C71</f>
        <v>0</v>
      </c>
      <c r="E71" s="151">
        <f t="shared" ref="E71:E72" si="34">IF(C71,D71/C71,0)</f>
        <v>0</v>
      </c>
      <c r="F71" s="96">
        <v>59000</v>
      </c>
      <c r="G71" s="138">
        <f>C71*6</f>
        <v>59000</v>
      </c>
      <c r="H71" s="143">
        <f t="shared" ref="H71:H72" si="35">F71-G71</f>
        <v>0</v>
      </c>
      <c r="I71" s="151">
        <f t="shared" ref="I71:I72" si="36">IF(G71,H71/G71,0)</f>
        <v>0</v>
      </c>
      <c r="J71" s="161"/>
    </row>
    <row r="72" spans="1:10" s="5" customFormat="1" ht="15" x14ac:dyDescent="0.25">
      <c r="A72" s="13" t="s">
        <v>109</v>
      </c>
      <c r="B72" s="133">
        <v>83.333333333333329</v>
      </c>
      <c r="C72" s="138">
        <v>83.333333333333329</v>
      </c>
      <c r="D72" s="143">
        <f t="shared" si="33"/>
        <v>0</v>
      </c>
      <c r="E72" s="151">
        <f t="shared" si="34"/>
        <v>0</v>
      </c>
      <c r="F72" s="96">
        <v>500</v>
      </c>
      <c r="G72" s="138">
        <f>C72*6</f>
        <v>500</v>
      </c>
      <c r="H72" s="143">
        <f t="shared" si="35"/>
        <v>0</v>
      </c>
      <c r="I72" s="151">
        <f t="shared" si="36"/>
        <v>0</v>
      </c>
      <c r="J72" s="161"/>
    </row>
    <row r="73" spans="1:10" s="5" customFormat="1" ht="15" x14ac:dyDescent="0.25">
      <c r="A73" s="34"/>
      <c r="B73" s="97">
        <f t="shared" ref="B73:G73" si="37">SUM(B71:B72)</f>
        <v>9916.6666666666679</v>
      </c>
      <c r="C73" s="19">
        <f t="shared" si="37"/>
        <v>9916.6666666666679</v>
      </c>
      <c r="D73" s="144">
        <f t="shared" si="37"/>
        <v>0</v>
      </c>
      <c r="E73" s="152"/>
      <c r="F73" s="97">
        <f>SUM(F71:F72)</f>
        <v>59500</v>
      </c>
      <c r="G73" s="19">
        <f t="shared" si="37"/>
        <v>59500</v>
      </c>
      <c r="H73" s="144">
        <f t="shared" ref="H73" si="38">SUM(H71:H72)</f>
        <v>0</v>
      </c>
      <c r="I73" s="152"/>
      <c r="J73" s="162"/>
    </row>
    <row r="74" spans="1:10" s="5" customFormat="1" ht="15.75" thickBot="1" x14ac:dyDescent="0.3">
      <c r="B74" s="133"/>
      <c r="C74" s="138"/>
      <c r="D74" s="145"/>
      <c r="E74" s="151"/>
      <c r="F74" s="96"/>
      <c r="G74" s="138"/>
      <c r="H74" s="145"/>
      <c r="I74" s="151"/>
      <c r="J74" s="161"/>
    </row>
    <row r="75" spans="1:10" s="5" customFormat="1" ht="16.5" thickBot="1" x14ac:dyDescent="0.3">
      <c r="A75" s="182" t="s">
        <v>181</v>
      </c>
      <c r="B75" s="178">
        <f t="shared" ref="B75:G75" si="39">B67+B73</f>
        <v>196.33333333333576</v>
      </c>
      <c r="C75" s="184">
        <f t="shared" si="39"/>
        <v>69.833333333332121</v>
      </c>
      <c r="D75" s="176">
        <f>B75-C75</f>
        <v>126.50000000000364</v>
      </c>
      <c r="E75" s="177"/>
      <c r="F75" s="183">
        <f>F67+F73</f>
        <v>-16020</v>
      </c>
      <c r="G75" s="184">
        <f t="shared" si="39"/>
        <v>419</v>
      </c>
      <c r="H75" s="176">
        <f>F75-G75</f>
        <v>-16439</v>
      </c>
      <c r="I75" s="157"/>
      <c r="J75" s="167"/>
    </row>
    <row r="76" spans="1:10" s="5" customFormat="1" ht="16.5" thickTop="1" x14ac:dyDescent="0.25">
      <c r="A76" s="36"/>
      <c r="B76" s="39"/>
      <c r="C76" s="39"/>
      <c r="D76" s="137"/>
      <c r="E76" s="137"/>
      <c r="F76" s="39"/>
      <c r="G76" s="39"/>
      <c r="H76" s="137"/>
      <c r="I76" s="137"/>
      <c r="J76" s="168"/>
    </row>
    <row r="77" spans="1:10" s="5" customFormat="1" ht="30" x14ac:dyDescent="0.25">
      <c r="A77" s="93" t="s">
        <v>187</v>
      </c>
      <c r="B77" s="192" t="s">
        <v>176</v>
      </c>
      <c r="C77" s="191" t="s">
        <v>172</v>
      </c>
      <c r="D77" s="193" t="s">
        <v>173</v>
      </c>
      <c r="E77" s="194" t="s">
        <v>174</v>
      </c>
      <c r="F77" s="195" t="s">
        <v>175</v>
      </c>
      <c r="G77" s="191" t="s">
        <v>172</v>
      </c>
      <c r="H77" s="193" t="s">
        <v>173</v>
      </c>
      <c r="I77" s="194" t="s">
        <v>174</v>
      </c>
      <c r="J77" s="168"/>
    </row>
    <row r="78" spans="1:10" s="5" customFormat="1" ht="15.75" x14ac:dyDescent="0.25">
      <c r="A78" s="34"/>
      <c r="B78" s="187">
        <v>1175</v>
      </c>
      <c r="C78" s="188">
        <f>B83</f>
        <v>1151.4437939110071</v>
      </c>
      <c r="D78" s="189">
        <f t="shared" ref="D78" si="40">B78-C78</f>
        <v>23.556206088992894</v>
      </c>
      <c r="E78" s="190">
        <f t="shared" ref="E78" si="41">IF(C78,D78/C78,0)</f>
        <v>2.0457973036600959E-2</v>
      </c>
      <c r="F78" s="191">
        <v>7123</v>
      </c>
      <c r="G78" s="188">
        <f>B83*6</f>
        <v>6908.6627634660426</v>
      </c>
      <c r="H78" s="189">
        <f t="shared" ref="H78" si="42">F78-G78</f>
        <v>214.33723653395737</v>
      </c>
      <c r="I78" s="190">
        <f t="shared" ref="I78" si="43">IF(G78,H78/G78,0)</f>
        <v>3.102441729641257E-2</v>
      </c>
      <c r="J78" s="168"/>
    </row>
    <row r="79" spans="1:10" s="5" customFormat="1" ht="15.75" x14ac:dyDescent="0.25">
      <c r="A79" s="34"/>
      <c r="B79" s="185"/>
      <c r="C79" s="185"/>
      <c r="D79" s="185"/>
      <c r="E79" s="196"/>
      <c r="F79" s="39"/>
      <c r="G79" s="39"/>
      <c r="H79" s="137"/>
      <c r="I79" s="196">
        <v>1</v>
      </c>
      <c r="J79" s="168"/>
    </row>
    <row r="80" spans="1:10" s="5" customFormat="1" ht="15.75" x14ac:dyDescent="0.25">
      <c r="A80" s="34" t="s">
        <v>184</v>
      </c>
      <c r="B80" s="185">
        <f>9833.33*12</f>
        <v>117999.95999999999</v>
      </c>
      <c r="C80" s="185"/>
      <c r="D80" s="185"/>
      <c r="E80" s="185"/>
      <c r="F80" s="39"/>
      <c r="G80" s="39"/>
      <c r="H80" s="137"/>
      <c r="I80" s="137"/>
      <c r="J80" s="168"/>
    </row>
    <row r="81" spans="1:10" s="5" customFormat="1" ht="15.75" x14ac:dyDescent="0.25">
      <c r="A81" s="34" t="s">
        <v>183</v>
      </c>
      <c r="B81" s="185">
        <v>8.5399999999999991</v>
      </c>
      <c r="C81" s="185"/>
      <c r="D81" s="185"/>
      <c r="E81" s="185"/>
      <c r="F81" s="39"/>
      <c r="G81" s="39"/>
      <c r="H81" s="137"/>
      <c r="I81" s="137"/>
      <c r="J81" s="168"/>
    </row>
    <row r="82" spans="1:10" s="5" customFormat="1" ht="15.75" x14ac:dyDescent="0.25">
      <c r="A82" s="34" t="s">
        <v>185</v>
      </c>
      <c r="B82" s="186">
        <f>B80/B81</f>
        <v>13817.325526932085</v>
      </c>
      <c r="C82" s="185"/>
      <c r="D82" s="185"/>
      <c r="E82" s="185"/>
      <c r="F82" s="39"/>
      <c r="G82" s="39"/>
      <c r="H82" s="137"/>
      <c r="I82" s="137"/>
      <c r="J82" s="168"/>
    </row>
    <row r="83" spans="1:10" s="5" customFormat="1" ht="15.75" x14ac:dyDescent="0.25">
      <c r="A83" s="34" t="s">
        <v>186</v>
      </c>
      <c r="B83" s="235">
        <f>B82/12</f>
        <v>1151.4437939110071</v>
      </c>
      <c r="C83" s="185"/>
      <c r="D83" s="185"/>
      <c r="E83" s="185"/>
      <c r="F83" s="39"/>
      <c r="G83" s="39"/>
      <c r="H83" s="137"/>
      <c r="I83" s="137"/>
      <c r="J83" s="168"/>
    </row>
    <row r="84" spans="1:10" s="5" customFormat="1" ht="15.75" x14ac:dyDescent="0.25">
      <c r="A84" s="36"/>
      <c r="B84" s="185"/>
      <c r="C84" s="185"/>
      <c r="D84" s="185"/>
      <c r="E84" s="185"/>
      <c r="F84" s="39"/>
      <c r="G84" s="39"/>
      <c r="H84" s="137"/>
      <c r="I84" s="137"/>
      <c r="J84" s="168"/>
    </row>
    <row r="85" spans="1:10" s="5" customFormat="1" ht="15.75" x14ac:dyDescent="0.25">
      <c r="A85" s="36"/>
      <c r="B85" s="185"/>
      <c r="C85" s="185"/>
      <c r="D85" s="185"/>
      <c r="E85" s="185"/>
      <c r="F85" s="39"/>
      <c r="G85" s="39"/>
      <c r="H85" s="137"/>
      <c r="I85" s="137"/>
      <c r="J85" s="168"/>
    </row>
    <row r="86" spans="1:10" s="5" customFormat="1" ht="15.75" x14ac:dyDescent="0.25">
      <c r="A86" s="36"/>
      <c r="B86" s="185"/>
      <c r="C86" s="185"/>
      <c r="D86" s="185"/>
      <c r="E86" s="185"/>
      <c r="F86" s="39"/>
      <c r="G86" s="39"/>
      <c r="H86" s="137"/>
      <c r="I86" s="137"/>
      <c r="J86" s="168"/>
    </row>
    <row r="87" spans="1:10" s="5" customFormat="1" ht="15.75" x14ac:dyDescent="0.25">
      <c r="A87" s="36"/>
      <c r="B87" s="185"/>
      <c r="C87" s="185"/>
      <c r="D87" s="185"/>
      <c r="E87" s="185"/>
      <c r="F87" s="39"/>
      <c r="G87" s="39"/>
      <c r="H87" s="137"/>
      <c r="I87" s="137"/>
      <c r="J87" s="168"/>
    </row>
    <row r="88" spans="1:10" s="5" customFormat="1" ht="15.75" x14ac:dyDescent="0.25">
      <c r="A88" s="36"/>
      <c r="B88" s="39"/>
      <c r="C88" s="39"/>
      <c r="D88" s="137"/>
      <c r="E88" s="137"/>
      <c r="F88" s="39"/>
      <c r="G88" s="39"/>
      <c r="H88" s="137"/>
      <c r="I88" s="137"/>
      <c r="J88" s="168"/>
    </row>
    <row r="89" spans="1:10" s="5" customFormat="1" ht="15.75" x14ac:dyDescent="0.25">
      <c r="A89" s="36"/>
      <c r="B89" s="39"/>
      <c r="C89" s="39"/>
      <c r="D89" s="137"/>
      <c r="E89" s="137"/>
      <c r="F89" s="39"/>
      <c r="G89" s="39"/>
      <c r="H89" s="137"/>
      <c r="I89" s="137"/>
      <c r="J89" s="168"/>
    </row>
    <row r="90" spans="1:10" s="5" customFormat="1" ht="15.75" x14ac:dyDescent="0.25">
      <c r="A90" s="36"/>
      <c r="B90" s="39"/>
      <c r="C90" s="39"/>
      <c r="D90" s="137"/>
      <c r="E90" s="137"/>
      <c r="F90" s="39"/>
      <c r="G90" s="39"/>
      <c r="H90" s="137"/>
      <c r="I90" s="137"/>
      <c r="J90" s="168"/>
    </row>
    <row r="91" spans="1:10" s="55" customFormat="1" ht="15" x14ac:dyDescent="0.25">
      <c r="A91" s="5"/>
      <c r="B91" s="131"/>
      <c r="C91" s="5"/>
      <c r="D91" s="136"/>
      <c r="E91" s="136"/>
      <c r="F91" s="5"/>
      <c r="G91" s="5"/>
      <c r="H91" s="136"/>
      <c r="I91" s="136"/>
      <c r="J91" s="136"/>
    </row>
  </sheetData>
  <conditionalFormatting sqref="D8:D13">
    <cfRule type="cellIs" dxfId="4" priority="4" operator="lessThanOrEqual">
      <formula>-200</formula>
    </cfRule>
  </conditionalFormatting>
  <conditionalFormatting sqref="D17:D19">
    <cfRule type="cellIs" dxfId="3" priority="5" operator="lessThanOrEqual">
      <formula>-200</formula>
    </cfRule>
  </conditionalFormatting>
  <conditionalFormatting sqref="D25:D37">
    <cfRule type="cellIs" dxfId="2" priority="3" operator="lessThanOrEqual">
      <formula>-200</formula>
    </cfRule>
  </conditionalFormatting>
  <conditionalFormatting sqref="D49">
    <cfRule type="cellIs" dxfId="1" priority="2" operator="lessThanOrEqual">
      <formula>-200</formula>
    </cfRule>
  </conditionalFormatting>
  <conditionalFormatting sqref="D55">
    <cfRule type="cellIs" dxfId="0" priority="1" operator="lessThanOrEqual">
      <formula>-200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857E-083A-4D63-8E01-205F243E2AC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533F-A771-4B6B-91C9-E468CC537CF6}">
  <dimension ref="B1:R33"/>
  <sheetViews>
    <sheetView showGridLines="0" topLeftCell="E1" workbookViewId="0">
      <selection activeCell="O26" sqref="O26:R33"/>
    </sheetView>
  </sheetViews>
  <sheetFormatPr defaultRowHeight="12.75" x14ac:dyDescent="0.2"/>
  <cols>
    <col min="2" max="2" width="28.5703125" customWidth="1"/>
    <col min="4" max="4" width="11.140625" customWidth="1"/>
    <col min="6" max="6" width="3.42578125" customWidth="1"/>
    <col min="8" max="8" width="12.28515625" customWidth="1"/>
    <col min="11" max="11" width="22.28515625" customWidth="1"/>
    <col min="12" max="12" width="14" bestFit="1" customWidth="1"/>
    <col min="13" max="13" width="62.7109375" customWidth="1"/>
    <col min="14" max="14" width="10.85546875" customWidth="1"/>
    <col min="15" max="15" width="15.5703125" bestFit="1" customWidth="1"/>
    <col min="16" max="18" width="12.5703125" customWidth="1"/>
  </cols>
  <sheetData>
    <row r="1" spans="2:9" ht="13.5" thickBot="1" x14ac:dyDescent="0.25"/>
    <row r="2" spans="2:9" ht="38.25" x14ac:dyDescent="0.2">
      <c r="B2" s="197"/>
      <c r="C2" s="198" t="s">
        <v>188</v>
      </c>
      <c r="D2" s="199" t="s">
        <v>189</v>
      </c>
      <c r="E2" s="200" t="s">
        <v>190</v>
      </c>
      <c r="F2" s="201"/>
      <c r="G2" s="202" t="s">
        <v>191</v>
      </c>
      <c r="H2" s="199" t="s">
        <v>189</v>
      </c>
      <c r="I2" s="200" t="s">
        <v>190</v>
      </c>
    </row>
    <row r="3" spans="2:9" x14ac:dyDescent="0.2">
      <c r="B3" s="203" t="s">
        <v>197</v>
      </c>
      <c r="C3" s="204">
        <f>1020+523</f>
        <v>1543</v>
      </c>
      <c r="D3" s="205">
        <f>1151+600</f>
        <v>1751</v>
      </c>
      <c r="E3" s="206">
        <f>C3-D3</f>
        <v>-208</v>
      </c>
      <c r="F3" s="207"/>
      <c r="G3" s="208">
        <f>2119+523+541</f>
        <v>3183</v>
      </c>
      <c r="H3" s="205">
        <f>2303+600+600</f>
        <v>3503</v>
      </c>
      <c r="I3" s="206">
        <f>G3-H3</f>
        <v>-320</v>
      </c>
    </row>
    <row r="4" spans="2:9" x14ac:dyDescent="0.2">
      <c r="B4" s="209" t="s">
        <v>20</v>
      </c>
      <c r="C4" s="210">
        <f>'A v B'!B8</f>
        <v>10652</v>
      </c>
      <c r="D4" s="211">
        <f>'A v B'!C8</f>
        <v>10541.666666666666</v>
      </c>
      <c r="E4" s="212">
        <f>C4-D4</f>
        <v>110.33333333333394</v>
      </c>
      <c r="F4" s="213"/>
      <c r="G4" s="214">
        <f>'A v B'!F8</f>
        <v>65125</v>
      </c>
      <c r="H4" s="211">
        <f>'A v B'!G8</f>
        <v>63250</v>
      </c>
      <c r="I4" s="212">
        <f>G4-H4</f>
        <v>1875</v>
      </c>
    </row>
    <row r="5" spans="2:9" x14ac:dyDescent="0.2">
      <c r="B5" s="209" t="s">
        <v>22</v>
      </c>
      <c r="C5" s="210">
        <f>'A v B'!B9</f>
        <v>967</v>
      </c>
      <c r="D5" s="211">
        <f>'A v B'!C9</f>
        <v>916.66666666666663</v>
      </c>
      <c r="E5" s="212">
        <f t="shared" ref="E5:E6" si="0">C5-D5</f>
        <v>50.333333333333371</v>
      </c>
      <c r="F5" s="213"/>
      <c r="G5" s="214">
        <f>'A v B'!F9</f>
        <v>5800</v>
      </c>
      <c r="H5" s="211">
        <f>'A v B'!G9</f>
        <v>5500</v>
      </c>
      <c r="I5" s="212">
        <f t="shared" ref="I5:I6" si="1">G5-H5</f>
        <v>300</v>
      </c>
    </row>
    <row r="6" spans="2:9" x14ac:dyDescent="0.2">
      <c r="B6" s="209" t="s">
        <v>24</v>
      </c>
      <c r="C6" s="210">
        <f>'A v B'!B10</f>
        <v>520</v>
      </c>
      <c r="D6" s="211">
        <f>'A v B'!C10</f>
        <v>583.33333333333337</v>
      </c>
      <c r="E6" s="212">
        <f t="shared" si="0"/>
        <v>-63.333333333333371</v>
      </c>
      <c r="F6" s="213"/>
      <c r="G6" s="214">
        <f>'A v B'!F10</f>
        <v>3000</v>
      </c>
      <c r="H6" s="211">
        <f>'A v B'!G10</f>
        <v>3500</v>
      </c>
      <c r="I6" s="212">
        <f t="shared" si="1"/>
        <v>-500</v>
      </c>
    </row>
    <row r="7" spans="2:9" x14ac:dyDescent="0.2">
      <c r="B7" s="209" t="s">
        <v>26</v>
      </c>
      <c r="C7" s="210">
        <f>'A v B'!B11</f>
        <v>150</v>
      </c>
      <c r="D7" s="211">
        <f>'A v B'!C11</f>
        <v>250</v>
      </c>
      <c r="E7" s="212">
        <f>C7-D7</f>
        <v>-100</v>
      </c>
      <c r="F7" s="213"/>
      <c r="G7" s="214">
        <f>'A v B'!F11</f>
        <v>1000</v>
      </c>
      <c r="H7" s="211">
        <f>'A v B'!G11</f>
        <v>1500</v>
      </c>
      <c r="I7" s="212">
        <f>G7-H7</f>
        <v>-500</v>
      </c>
    </row>
    <row r="8" spans="2:9" x14ac:dyDescent="0.2">
      <c r="B8" s="209" t="s">
        <v>192</v>
      </c>
      <c r="C8" s="210">
        <f>'A v B'!B73</f>
        <v>9916.6666666666679</v>
      </c>
      <c r="D8" s="211">
        <f>'A v B'!C73</f>
        <v>9916.6666666666679</v>
      </c>
      <c r="E8" s="212">
        <f>C8-D8</f>
        <v>0</v>
      </c>
      <c r="F8" s="213"/>
      <c r="G8" s="214">
        <f>'A v B'!F73</f>
        <v>59500</v>
      </c>
      <c r="H8" s="211">
        <f>'A v B'!G73</f>
        <v>59500</v>
      </c>
      <c r="I8" s="212">
        <f>G8-H8</f>
        <v>0</v>
      </c>
    </row>
    <row r="9" spans="2:9" x14ac:dyDescent="0.2">
      <c r="B9" s="209" t="s">
        <v>193</v>
      </c>
      <c r="C9" s="210">
        <f>'A v B'!B12+'A v B'!B13</f>
        <v>125</v>
      </c>
      <c r="D9" s="211">
        <f>'A v B'!C12+'A v B'!C13</f>
        <v>166.66666666666666</v>
      </c>
      <c r="E9" s="212">
        <f>C9-D9</f>
        <v>-41.666666666666657</v>
      </c>
      <c r="F9" s="213"/>
      <c r="G9" s="214">
        <f>'A v B'!F12+'A v B'!F13</f>
        <v>1200</v>
      </c>
      <c r="H9" s="211">
        <f>'A v B'!G12+'A v B'!G13</f>
        <v>1000</v>
      </c>
      <c r="I9" s="212">
        <f>G9-H9</f>
        <v>200</v>
      </c>
    </row>
    <row r="10" spans="2:9" x14ac:dyDescent="0.2">
      <c r="B10" s="215" t="s">
        <v>194</v>
      </c>
      <c r="C10" s="216">
        <f>SUM(C4:C9)</f>
        <v>22330.666666666668</v>
      </c>
      <c r="D10" s="217">
        <f>SUM(D4:D9)</f>
        <v>22375.000000000004</v>
      </c>
      <c r="E10" s="218">
        <f>C10-D10</f>
        <v>-44.333333333335759</v>
      </c>
      <c r="F10" s="213"/>
      <c r="G10" s="219">
        <f>SUM(G4:G9)</f>
        <v>135625</v>
      </c>
      <c r="H10" s="217">
        <f>SUM(H4:H9)</f>
        <v>134250</v>
      </c>
      <c r="I10" s="218">
        <f>G10-H10</f>
        <v>1375</v>
      </c>
    </row>
    <row r="11" spans="2:9" ht="13.5" thickBot="1" x14ac:dyDescent="0.25">
      <c r="B11" s="215" t="s">
        <v>210</v>
      </c>
      <c r="C11" s="220">
        <f>'A v B'!B20</f>
        <v>14294</v>
      </c>
      <c r="D11" s="217">
        <f>'A v B'!C20</f>
        <v>14000</v>
      </c>
      <c r="E11" s="218">
        <f>-C11+D11</f>
        <v>-294</v>
      </c>
      <c r="F11" s="213"/>
      <c r="G11" s="221">
        <f>'A v B'!F20</f>
        <v>86737</v>
      </c>
      <c r="H11" s="217">
        <f>'A v B'!G20</f>
        <v>84000</v>
      </c>
      <c r="I11" s="218">
        <f t="shared" ref="I11:I17" si="2">-G11+H11</f>
        <v>-2737</v>
      </c>
    </row>
    <row r="12" spans="2:9" x14ac:dyDescent="0.2">
      <c r="B12" s="209" t="s">
        <v>198</v>
      </c>
      <c r="C12" s="210">
        <f>'A v B'!B38</f>
        <v>1550.3333333333333</v>
      </c>
      <c r="D12" s="211">
        <f>'A v B'!C38</f>
        <v>2159.166666666667</v>
      </c>
      <c r="E12" s="212">
        <f t="shared" ref="E12:E17" si="3">D12-C12</f>
        <v>608.83333333333371</v>
      </c>
      <c r="F12" s="213"/>
      <c r="G12" s="244">
        <f>'A v B'!F38</f>
        <v>12533</v>
      </c>
      <c r="H12" s="211">
        <f>'A v B'!G38</f>
        <v>12955</v>
      </c>
      <c r="I12" s="212">
        <f t="shared" si="2"/>
        <v>422</v>
      </c>
    </row>
    <row r="13" spans="2:9" x14ac:dyDescent="0.2">
      <c r="B13" s="209" t="s">
        <v>195</v>
      </c>
      <c r="C13" s="210">
        <f>'A v B'!B49</f>
        <v>6240</v>
      </c>
      <c r="D13" s="211">
        <f>'A v B'!C49</f>
        <v>5846</v>
      </c>
      <c r="E13" s="212">
        <f t="shared" si="3"/>
        <v>-394</v>
      </c>
      <c r="F13" s="213"/>
      <c r="G13" s="214">
        <f>'A v B'!F49</f>
        <v>50875</v>
      </c>
      <c r="H13" s="211">
        <f>'A v B'!G49</f>
        <v>35076</v>
      </c>
      <c r="I13" s="212">
        <f t="shared" si="2"/>
        <v>-15799</v>
      </c>
    </row>
    <row r="14" spans="2:9" x14ac:dyDescent="0.2">
      <c r="B14" s="209" t="s">
        <v>199</v>
      </c>
      <c r="C14" s="210">
        <f>'A v B'!B55</f>
        <v>50</v>
      </c>
      <c r="D14" s="211">
        <f>'A v B'!C55</f>
        <v>300</v>
      </c>
      <c r="E14" s="212">
        <f t="shared" si="3"/>
        <v>250</v>
      </c>
      <c r="F14" s="213"/>
      <c r="G14" s="214">
        <f>'A v B'!F55</f>
        <v>1500</v>
      </c>
      <c r="H14" s="211">
        <f>'A v B'!G55</f>
        <v>1800</v>
      </c>
      <c r="I14" s="212">
        <f t="shared" si="2"/>
        <v>300</v>
      </c>
    </row>
    <row r="15" spans="2:9" hidden="1" x14ac:dyDescent="0.2">
      <c r="B15" s="209"/>
      <c r="C15" s="210"/>
      <c r="D15" s="211"/>
      <c r="E15" s="212">
        <f t="shared" si="3"/>
        <v>0</v>
      </c>
      <c r="F15" s="213"/>
      <c r="G15" s="214"/>
      <c r="H15" s="211"/>
      <c r="I15" s="212">
        <f t="shared" si="2"/>
        <v>0</v>
      </c>
    </row>
    <row r="16" spans="2:9" hidden="1" x14ac:dyDescent="0.2">
      <c r="B16" s="209"/>
      <c r="C16" s="210"/>
      <c r="D16" s="211"/>
      <c r="E16" s="212">
        <f t="shared" si="3"/>
        <v>0</v>
      </c>
      <c r="F16" s="213"/>
      <c r="G16" s="214"/>
      <c r="H16" s="211"/>
      <c r="I16" s="212">
        <f t="shared" si="2"/>
        <v>0</v>
      </c>
    </row>
    <row r="17" spans="2:18" x14ac:dyDescent="0.2">
      <c r="B17" s="215" t="s">
        <v>196</v>
      </c>
      <c r="C17" s="216">
        <f>SUM(C12:C16)</f>
        <v>7840.333333333333</v>
      </c>
      <c r="D17" s="217">
        <f>SUM(D12:D16)</f>
        <v>8305.1666666666679</v>
      </c>
      <c r="E17" s="218">
        <f t="shared" si="3"/>
        <v>464.83333333333485</v>
      </c>
      <c r="F17" s="213"/>
      <c r="G17" s="219">
        <f>SUM(G12:G16)</f>
        <v>64908</v>
      </c>
      <c r="H17" s="217">
        <f>SUM(H12:H16)</f>
        <v>49831</v>
      </c>
      <c r="I17" s="218">
        <f t="shared" si="2"/>
        <v>-15077</v>
      </c>
    </row>
    <row r="18" spans="2:18" ht="13.5" thickBot="1" x14ac:dyDescent="0.25">
      <c r="B18" s="222" t="s">
        <v>200</v>
      </c>
      <c r="C18" s="226">
        <f>C10-C11-C17</f>
        <v>196.33333333333485</v>
      </c>
      <c r="D18" s="223">
        <f>D10-D11-D17</f>
        <v>69.833333333335759</v>
      </c>
      <c r="E18" s="224">
        <f>C18-D18</f>
        <v>126.49999999999909</v>
      </c>
      <c r="F18" s="213"/>
      <c r="G18" s="225">
        <f>G10-G11-G17</f>
        <v>-16020</v>
      </c>
      <c r="H18" s="223">
        <f>H10-H11-H17</f>
        <v>419</v>
      </c>
      <c r="I18" s="224">
        <f>G18-H18</f>
        <v>-16439</v>
      </c>
    </row>
    <row r="19" spans="2:18" ht="13.5" thickBot="1" x14ac:dyDescent="0.25"/>
    <row r="20" spans="2:18" ht="13.5" x14ac:dyDescent="0.2">
      <c r="K20" s="237" t="s">
        <v>206</v>
      </c>
      <c r="L20" s="237" t="s">
        <v>207</v>
      </c>
      <c r="M20" s="237" t="s">
        <v>208</v>
      </c>
    </row>
    <row r="21" spans="2:18" ht="13.5" x14ac:dyDescent="0.2">
      <c r="K21" s="238" t="s">
        <v>116</v>
      </c>
      <c r="L21" s="239" t="s">
        <v>209</v>
      </c>
      <c r="M21" s="239" t="s">
        <v>182</v>
      </c>
    </row>
    <row r="22" spans="2:18" ht="13.5" x14ac:dyDescent="0.2">
      <c r="K22" s="240" t="s">
        <v>157</v>
      </c>
      <c r="L22" s="241" t="s">
        <v>209</v>
      </c>
      <c r="M22" s="241" t="s">
        <v>211</v>
      </c>
    </row>
    <row r="23" spans="2:18" ht="27" x14ac:dyDescent="0.2">
      <c r="K23" s="238" t="s">
        <v>40</v>
      </c>
      <c r="L23" s="239" t="s">
        <v>212</v>
      </c>
      <c r="M23" s="239" t="s">
        <v>214</v>
      </c>
    </row>
    <row r="24" spans="2:18" ht="14.25" thickBot="1" x14ac:dyDescent="0.25">
      <c r="K24" s="242" t="s">
        <v>213</v>
      </c>
      <c r="L24" s="243" t="s">
        <v>212</v>
      </c>
      <c r="M24" s="243" t="s">
        <v>215</v>
      </c>
    </row>
    <row r="26" spans="2:18" ht="21" x14ac:dyDescent="0.35">
      <c r="O26" s="227" t="s">
        <v>127</v>
      </c>
      <c r="P26" s="245" t="s">
        <v>201</v>
      </c>
      <c r="Q26" s="228">
        <v>1151.44</v>
      </c>
      <c r="R26" s="229"/>
    </row>
    <row r="27" spans="2:18" ht="18.75" x14ac:dyDescent="0.2">
      <c r="O27" s="236" t="s">
        <v>202</v>
      </c>
      <c r="P27" s="236" t="s">
        <v>130</v>
      </c>
      <c r="Q27" s="236" t="s">
        <v>4</v>
      </c>
      <c r="R27" s="236" t="s">
        <v>5</v>
      </c>
    </row>
    <row r="28" spans="2:18" ht="18.75" x14ac:dyDescent="0.3">
      <c r="O28" s="230" t="s">
        <v>203</v>
      </c>
      <c r="P28" s="231">
        <f>SUM(Q28:R28)</f>
        <v>2119</v>
      </c>
      <c r="Q28" s="231">
        <f>2119-R28</f>
        <v>1099</v>
      </c>
      <c r="R28" s="231">
        <v>1020</v>
      </c>
    </row>
    <row r="29" spans="2:18" ht="18.75" x14ac:dyDescent="0.3">
      <c r="O29" s="230" t="s">
        <v>148</v>
      </c>
      <c r="P29" s="231">
        <f t="shared" ref="P29:P31" si="4">SUM(Q29:R29)</f>
        <v>1023</v>
      </c>
      <c r="Q29" s="231">
        <v>521</v>
      </c>
      <c r="R29" s="231">
        <v>502</v>
      </c>
    </row>
    <row r="30" spans="2:18" ht="18.75" x14ac:dyDescent="0.3">
      <c r="O30" s="230" t="s">
        <v>149</v>
      </c>
      <c r="P30" s="231">
        <f t="shared" si="4"/>
        <v>37</v>
      </c>
      <c r="Q30" s="231">
        <v>18</v>
      </c>
      <c r="R30" s="231">
        <v>19</v>
      </c>
    </row>
    <row r="31" spans="2:18" ht="18.75" x14ac:dyDescent="0.3">
      <c r="O31" s="230" t="s">
        <v>204</v>
      </c>
      <c r="P31" s="231">
        <f t="shared" si="4"/>
        <v>4</v>
      </c>
      <c r="Q31" s="231">
        <v>2</v>
      </c>
      <c r="R31" s="231">
        <v>2</v>
      </c>
    </row>
    <row r="32" spans="2:18" ht="18.75" x14ac:dyDescent="0.3">
      <c r="O32" s="232" t="s">
        <v>130</v>
      </c>
      <c r="P32" s="233">
        <f>SUM(P28:P31)</f>
        <v>3183</v>
      </c>
      <c r="Q32" s="233">
        <f t="shared" ref="Q32:R32" si="5">SUBTOTAL(109,Q28:Q31)</f>
        <v>1640</v>
      </c>
      <c r="R32" s="233">
        <f t="shared" si="5"/>
        <v>1543</v>
      </c>
    </row>
    <row r="33" spans="15:18" ht="18.75" x14ac:dyDescent="0.3">
      <c r="O33" s="230" t="s">
        <v>205</v>
      </c>
      <c r="P33" s="234">
        <f>P28/SUM(Q26*2)</f>
        <v>0.92015215729868682</v>
      </c>
      <c r="Q33" s="234">
        <f>Q28/$Q26</f>
        <v>0.95445702772180918</v>
      </c>
      <c r="R33" s="234">
        <f>R28/$Q26</f>
        <v>0.88584728687556447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99DF9A731164E9AA931DBEBF866D9" ma:contentTypeVersion="15" ma:contentTypeDescription="Create a new document." ma:contentTypeScope="" ma:versionID="5f8fb580f426f69854c21528ecc0a2a5">
  <xsd:schema xmlns:xsd="http://www.w3.org/2001/XMLSchema" xmlns:xs="http://www.w3.org/2001/XMLSchema" xmlns:p="http://schemas.microsoft.com/office/2006/metadata/properties" xmlns:ns2="df9423ed-f478-46d9-9e15-c712a23cff56" xmlns:ns3="8ec00d07-e84e-40d0-835c-0b1e1790068b" targetNamespace="http://schemas.microsoft.com/office/2006/metadata/properties" ma:root="true" ma:fieldsID="782abfbd8b882919dfad1163de169f5d" ns2:_="" ns3:_="">
    <xsd:import namespace="df9423ed-f478-46d9-9e15-c712a23cff56"/>
    <xsd:import namespace="8ec00d07-e84e-40d0-835c-0b1e17900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423ed-f478-46d9-9e15-c712a23cf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b544df6-964c-49ba-b889-b398c8f30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00d07-e84e-40d0-835c-0b1e179006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73bafa7-94aa-4285-ba3d-88f807adbbbb}" ma:internalName="TaxCatchAll" ma:showField="CatchAllData" ma:web="8ec00d07-e84e-40d0-835c-0b1e179006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c00d07-e84e-40d0-835c-0b1e1790068b" xsi:nil="true"/>
    <lcf76f155ced4ddcb4097134ff3c332f xmlns="df9423ed-f478-46d9-9e15-c712a23cf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69397E-8827-4073-BAF1-1024ED077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423ed-f478-46d9-9e15-c712a23cff56"/>
    <ds:schemaRef ds:uri="8ec00d07-e84e-40d0-835c-0b1e17900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2BC34C-DF55-40F4-B24B-69658C747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3184-28B7-4B8E-B3ED-57AA8AB35B8C}">
  <ds:schemaRefs>
    <ds:schemaRef ds:uri="http://purl.org/dc/elements/1.1/"/>
    <ds:schemaRef ds:uri="http://purl.org/dc/terms/"/>
    <ds:schemaRef ds:uri="df9423ed-f478-46d9-9e15-c712a23cff56"/>
    <ds:schemaRef ds:uri="http://schemas.microsoft.com/office/2006/documentManagement/types"/>
    <ds:schemaRef ds:uri="8ec00d07-e84e-40d0-835c-0b1e1790068b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4. Examples</vt:lpstr>
      <vt:lpstr>QCF Budget</vt:lpstr>
      <vt:lpstr>QCF Budget Revised</vt:lpstr>
      <vt:lpstr>A v B</vt:lpstr>
      <vt:lpstr>Review</vt:lpstr>
      <vt:lpstr>Summary</vt:lpstr>
      <vt:lpstr>'A v B'!Print_Area</vt:lpstr>
      <vt:lpstr>'QCF Budget'!Print_Area</vt:lpstr>
      <vt:lpstr>'QCF Budget Revised'!Print_Area</vt:lpstr>
      <vt:lpstr>'A v B'!Print_Titles</vt:lpstr>
      <vt:lpstr>'QCF Budget'!Print_Titles</vt:lpstr>
      <vt:lpstr>'QCF Budget Revised'!Print_Titles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 Jackett</dc:creator>
  <cp:keywords/>
  <dc:description/>
  <cp:lastModifiedBy>Naomi Jackett</cp:lastModifiedBy>
  <cp:revision/>
  <cp:lastPrinted>2024-06-20T03:04:47Z</cp:lastPrinted>
  <dcterms:created xsi:type="dcterms:W3CDTF">2024-02-07T02:44:17Z</dcterms:created>
  <dcterms:modified xsi:type="dcterms:W3CDTF">2024-10-25T05:45:09Z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0x0101008AC99DF9A731164E9AA931DBEBF866D9</vt:lpwstr>
  </property>
  <property fmtid="{D5CDD505-2E9C-101B-9397-08002B2CF9AE}" pid="3" name="MediaServiceImageTags">
    <vt:lpwstr/>
  </property>
</Properties>
</file>